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jwm/Work/WEEDS/Business/PowerLines/SDGEGRC22/DRs/"/>
    </mc:Choice>
  </mc:AlternateContent>
  <xr:revisionPtr revIDLastSave="0" documentId="13_ncr:1_{5B1858C4-DC8A-8045-A319-188CE3494E9D}" xr6:coauthVersionLast="47" xr6:coauthVersionMax="47" xr10:uidLastSave="{00000000-0000-0000-0000-000000000000}"/>
  <bookViews>
    <workbookView xWindow="520" yWindow="-17360" windowWidth="29040" windowHeight="15840" tabRatio="881" activeTab="1" xr2:uid="{D71FE8AB-FD4F-456D-8046-E165308E128B}"/>
  </bookViews>
  <sheets>
    <sheet name="Cover" sheetId="195" r:id="rId1"/>
    <sheet name="RSE Summary WF Supplemental" sheetId="196" r:id="rId2"/>
    <sheet name="Risk Scoring Workpaper Summary" sheetId="185" r:id="rId3"/>
    <sheet name="RiskSW_PSPS" sheetId="184" r:id="rId4"/>
    <sheet name="Risk Scoring Workpaper" sheetId="182" r:id="rId5"/>
    <sheet name="Master Inputs " sheetId="19" r:id="rId6"/>
    <sheet name="Inspection_Master_Inputs" sheetId="160" r:id="rId7"/>
    <sheet name="Master_Table" sheetId="65" r:id="rId8"/>
    <sheet name="GeneratorGrantProgram" sheetId="153" r:id="rId9"/>
    <sheet name="PM SME Assignments" sheetId="162" state="hidden" r:id="rId10"/>
    <sheet name="SUG_Template" sheetId="66" state="hidden" r:id="rId11"/>
    <sheet name="CheckHotLineClamps" sheetId="156" state="hidden" r:id="rId12"/>
    <sheet name="Customer Resiliency Programs  " sheetId="79" state="hidden" r:id="rId13"/>
    <sheet name="Strategic_Undergrounding" sheetId="97" r:id="rId14"/>
    <sheet name="CoveredConductors" sheetId="80" r:id="rId15"/>
    <sheet name="ExpulsionFuseReplacement" sheetId="72" state="hidden" r:id="rId16"/>
    <sheet name="CNFHardening-OH" sheetId="159" state="hidden" r:id="rId17"/>
    <sheet name="PSPSEventsandMitigationImpacts" sheetId="165" state="hidden" r:id="rId18"/>
    <sheet name="ReclosureProtocols" sheetId="169" state="hidden" r:id="rId19"/>
    <sheet name="ProtectionSettings" sheetId="170"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600A_Tee__after">[1]RSE_Inputs!$B$41</definedName>
    <definedName name="_600A_Tee__before">[1]RSE_Inputs!$B$32</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9" hidden="1">'PM SME Assignments'!$A$1:$M$1</definedName>
    <definedName name="Answer">Master_Table!$N$1:$N$2</definedName>
    <definedName name="below_CoRE">'[2]Risk Scoring Workpaper'!$D$27</definedName>
    <definedName name="below_financial">'[2]Risk Scoring Workpaper'!$D$25</definedName>
    <definedName name="below_LoRE">'[2]Risk Scoring Workpaper'!$D$23</definedName>
    <definedName name="below_reliability">'[2]Risk Scoring Workpaper'!$D$26</definedName>
    <definedName name="below_safety">'[2]Risk Scoring Workpaper'!$D$24</definedName>
    <definedName name="Benefit_Discount_Factor" localSheetId="0">'[3]Master Inputs'!$C$5</definedName>
    <definedName name="Benefit_Discount_Factor" localSheetId="5">'Master Inputs '!$C$5</definedName>
    <definedName name="Benefit_Discount_Factor" localSheetId="4">'[4]Master Inputs'!$C$5</definedName>
    <definedName name="Benefit_Discount_Factor" localSheetId="3">'[4]Master Inputs'!$C$5</definedName>
    <definedName name="Benefit_Discount_Factor">'[5]Master Inputs'!$C$5</definedName>
    <definedName name="Binary" localSheetId="5">'[6]3. Portfolio Sensitivity'!$BI$1:$BI$2</definedName>
    <definedName name="Binary" localSheetId="4">'[6]3. Portfolio Sensitivity'!$BI$1:$BI$2</definedName>
    <definedName name="Binary" localSheetId="3">'[6]3. Portfolio Sensitivity'!$BI$1:$BI$2</definedName>
    <definedName name="Binary">#REF!</definedName>
    <definedName name="Bus_Tie__after">[1]RSE_Inputs!$B$40</definedName>
    <definedName name="Bus_Tie__before">[1]RSE_Inputs!$B$39</definedName>
    <definedName name="CAIDI_Branch__UG">[1]RSE_Inputs!$B$60</definedName>
    <definedName name="CAIDI_Breaker">[1]RSE_Inputs!$B$57</definedName>
    <definedName name="CAIDI_BusTie">[1]RSE_Inputs!$B$59</definedName>
    <definedName name="CAIDI_Capacitor">[1]RSE_Inputs!$B$58</definedName>
    <definedName name="CAIDI_Feeder__UG">[1]RSE_Inputs!$B$54</definedName>
    <definedName name="CAIDI_NorthHarbor">[1]RSE_Inputs!$B$61</definedName>
    <definedName name="CAIDI_Transformer">[1]RSE_Inputs!$B$56</definedName>
    <definedName name="Capacitor_Banks">[1]RSE_Inputs!$B$38</definedName>
    <definedName name="Capacitor_Banks___30years">[1]RSE_Inputs!$B$35</definedName>
    <definedName name="Capital_Escalation_PTY25">'[7]Master Inputs'!$D$26</definedName>
    <definedName name="Capital_Escalation_PTY26">'[7]Master Inputs'!$E$26</definedName>
    <definedName name="Capital_Escalation_PTY27">'[7]Master Inputs'!$F$26</definedName>
    <definedName name="Choice" localSheetId="5">'[8]CoRE Elements By Mitigation ID'!#REF!</definedName>
    <definedName name="Choice" localSheetId="4">'[8]CoRE Elements By Mitigation ID'!#REF!</definedName>
    <definedName name="Choice" localSheetId="3">'[8]CoRE Elements By Mitigation ID'!#REF!</definedName>
    <definedName name="Choice">'[8]CoRE Elements By Mitigation ID'!#REF!</definedName>
    <definedName name="Circuit_Breaker">[1]RSE_Inputs!$B$37</definedName>
    <definedName name="Circuit_Breaker___30years">[1]RSE_Inputs!$B$34</definedName>
    <definedName name="compressors_core">'[2]Risk Scoring Workpaper'!$D$41</definedName>
    <definedName name="compressors_financial">'[2]Risk Scoring Workpaper'!$D$39</definedName>
    <definedName name="compressors_lore">'[2]Risk Scoring Workpaper'!$D$37</definedName>
    <definedName name="compressors_reliability">'[2]Risk Scoring Workpaper'!$D$40</definedName>
    <definedName name="compressors_safety">'[2]Risk Scoring Workpaper'!$D$38</definedName>
    <definedName name="Currentcell">53</definedName>
    <definedName name="Curtailment_rng" localSheetId="0">#REF!</definedName>
    <definedName name="Curtailment_rng" localSheetId="5">#REF!</definedName>
    <definedName name="Curtailment_rng" localSheetId="4">#REF!</definedName>
    <definedName name="Curtailment_rng" localSheetId="3">#REF!</definedName>
    <definedName name="Curtailment_rng">#REF!</definedName>
    <definedName name="Curtailment_threshold">250</definedName>
    <definedName name="Curtailment_wt" localSheetId="0">#REF!</definedName>
    <definedName name="Curtailment_wt" localSheetId="5">#REF!</definedName>
    <definedName name="Curtailment_wt" localSheetId="4">#REF!</definedName>
    <definedName name="Curtailment_wt" localSheetId="3">#REF!</definedName>
    <definedName name="Curtailment_wt">#REF!</definedName>
    <definedName name="distribution_o_core_23" localSheetId="0">'[9]Risk Scoring Workpaper ''23'!$D$12</definedName>
    <definedName name="distribution_o_core_23">'[10]Risk Scoring Workpaper ''23'!$D$12</definedName>
    <definedName name="distribution_o_financial_23" localSheetId="0">'[9]Risk Scoring Workpaper ''23'!$D$11</definedName>
    <definedName name="distribution_o_financial_23">'[10]Risk Scoring Workpaper ''23'!$D$11</definedName>
    <definedName name="distribution_o_lore_23" localSheetId="0">'[9]Risk Scoring Workpaper ''23'!$D$8</definedName>
    <definedName name="distribution_o_lore_23">'[10]Risk Scoring Workpaper ''23'!$D$8</definedName>
    <definedName name="distribution_o_reliability_23" localSheetId="0">'[9]Risk Scoring Workpaper ''23'!$D$10</definedName>
    <definedName name="distribution_o_reliability_23">'[10]Risk Scoring Workpaper ''23'!$D$10</definedName>
    <definedName name="distribution_o_safety_23" localSheetId="0">'[9]Risk Scoring Workpaper ''23'!$D$9</definedName>
    <definedName name="distribution_o_safety_23">'[10]Risk Scoring Workpaper ''23'!$D$9</definedName>
    <definedName name="distribution_u_core_23" localSheetId="0">'[9]Risk Scoring Workpaper ''23'!$D$19</definedName>
    <definedName name="distribution_u_core_23">'[10]Risk Scoring Workpaper ''23'!$D$19</definedName>
    <definedName name="distribution_u_financial_23" localSheetId="0">'[9]Risk Scoring Workpaper ''23'!$D$18</definedName>
    <definedName name="distribution_u_financial_23">'[10]Risk Scoring Workpaper ''23'!$D$18</definedName>
    <definedName name="distribution_u_lore_23" localSheetId="0">'[9]Risk Scoring Workpaper ''23'!$D$15</definedName>
    <definedName name="distribution_u_lore_23">'[10]Risk Scoring Workpaper ''23'!$D$15</definedName>
    <definedName name="distribution_u_reliability_23" localSheetId="0">'[9]Risk Scoring Workpaper ''23'!$D$17</definedName>
    <definedName name="distribution_u_reliability_23">'[10]Risk Scoring Workpaper ''23'!$D$17</definedName>
    <definedName name="distribution_u_safety_23" localSheetId="0">'[9]Risk Scoring Workpaper ''23'!$D$16</definedName>
    <definedName name="distribution_u_safety_23">'[10]Risk Scoring Workpaper ''23'!$D$16</definedName>
    <definedName name="District" localSheetId="0">[11]Lists!$A$15:$A$22</definedName>
    <definedName name="District">[11]Lists!$A$15:$A$22</definedName>
    <definedName name="facilites_reliability">'[7]Risk Scoring Workpaper ''21'!$D$56</definedName>
    <definedName name="facilities_core" localSheetId="0">#REF!</definedName>
    <definedName name="facilities_core">#REF!</definedName>
    <definedName name="facilities_financial" localSheetId="0">'[12]Risk Scoring Workpaper ''21'!$D$55</definedName>
    <definedName name="facilities_financial">#REF!</definedName>
    <definedName name="facilities_lore" localSheetId="0">'[12]Risk Scoring Workpaper ''21'!$D$53</definedName>
    <definedName name="facilities_lore">#REF!</definedName>
    <definedName name="facilities_reliability" localSheetId="0">'[12]Risk Scoring Workpaper ''21'!$D$56</definedName>
    <definedName name="facilities_reliability">#REF!</definedName>
    <definedName name="facilities_safety" localSheetId="0">'[12]Risk Scoring Workpaper ''21'!$D$54</definedName>
    <definedName name="facilities_safety">#REF!</definedName>
    <definedName name="Fatalities_val" localSheetId="0">#REF!</definedName>
    <definedName name="Fatalities_val" localSheetId="5">#REF!</definedName>
    <definedName name="Fatalities_val" localSheetId="4">#REF!</definedName>
    <definedName name="Fatalities_val" localSheetId="3">#REF!</definedName>
    <definedName name="Fatalities_val">#REF!</definedName>
    <definedName name="Financial_Cost_Range" localSheetId="0">'[3]Master Inputs'!$C$12</definedName>
    <definedName name="Financial_Cost_Range" localSheetId="5">'Master Inputs '!$C$12</definedName>
    <definedName name="Financial_Cost_Range" localSheetId="4">'[4]Master Inputs'!$C$12</definedName>
    <definedName name="Financial_Cost_Range" localSheetId="3">'[4]Master Inputs'!$C$12</definedName>
    <definedName name="Financial_Cost_Range">'[5]Master Inputs'!$C$12</definedName>
    <definedName name="Financial_Cost_Weight" localSheetId="0">'[3]Master Inputs'!$D$12</definedName>
    <definedName name="Financial_Cost_Weight" localSheetId="5">'Master Inputs '!$D$12</definedName>
    <definedName name="Financial_Cost_Weight" localSheetId="4">'[4]Master Inputs'!$D$12</definedName>
    <definedName name="Financial_Cost_Weight" localSheetId="3">'[4]Master Inputs'!$D$12</definedName>
    <definedName name="Financial_Cost_Weight">'[5]Master Inputs'!$D$12</definedName>
    <definedName name="Financial_Rng" localSheetId="0">#REF!</definedName>
    <definedName name="Financial_Rng" localSheetId="5">#REF!</definedName>
    <definedName name="Financial_Rng" localSheetId="4">#REF!</definedName>
    <definedName name="Financial_Rng" localSheetId="3">#REF!</definedName>
    <definedName name="Financial_Rng">#REF!</definedName>
    <definedName name="Financial_wt" localSheetId="0">#REF!</definedName>
    <definedName name="Financial_wt" localSheetId="5">#REF!</definedName>
    <definedName name="Financial_wt" localSheetId="4">#REF!</definedName>
    <definedName name="Financial_wt" localSheetId="3">#REF!</definedName>
    <definedName name="Financial_wt">#REF!</definedName>
    <definedName name="FinancialImpactPerCustomer">'Master Inputs '!$C$16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LengthofPSPSShutdown">'Master Inputs '!$C$18</definedName>
    <definedName name="LoRE">#REF!</definedName>
    <definedName name="LoRE_C">#REF!</definedName>
    <definedName name="manhole_core_23" localSheetId="0">'[9]Risk Scoring Workpaper ''23'!$D$33</definedName>
    <definedName name="manhole_core_23">'[10]Risk Scoring Workpaper ''23'!$D$33</definedName>
    <definedName name="manhole_financial_23" localSheetId="0">'[9]Risk Scoring Workpaper ''23'!$D$32</definedName>
    <definedName name="manhole_financial_23">'[10]Risk Scoring Workpaper ''23'!$D$32</definedName>
    <definedName name="manhole_lore_23" localSheetId="0">'[9]Risk Scoring Workpaper ''23'!$D$29</definedName>
    <definedName name="manhole_lore_23">'[10]Risk Scoring Workpaper ''23'!$D$29</definedName>
    <definedName name="manhole_reliability_23" localSheetId="0">'[9]Risk Scoring Workpaper ''23'!$D$31</definedName>
    <definedName name="manhole_reliability_23">'[10]Risk Scoring Workpaper ''23'!$D$31</definedName>
    <definedName name="manhole_safety_23" localSheetId="0">'[9]Risk Scoring Workpaper ''23'!$D$30</definedName>
    <definedName name="manhole_safety_23">'[10]Risk Scoring Workpaper ''23'!$D$30</definedName>
    <definedName name="Master_Inputs" localSheetId="5">#REF!</definedName>
    <definedName name="MasterInputs" localSheetId="5">#REF!</definedName>
    <definedName name="Meter_and_beyond">#REF!</definedName>
    <definedName name="Meter_and_Beyond_CoRE" localSheetId="0">'[13]Risk Scoring Workpaper'!$D$55</definedName>
    <definedName name="Meter_and_beyond_core">'[14]Risk Scoring Workpaper ''21'!$D$55</definedName>
    <definedName name="Meter_and_Beyond_Financial" localSheetId="0">'[13]Risk Scoring Workpaper'!$D$53</definedName>
    <definedName name="Meter_and_beyond_financial">'[14]Risk Scoring Workpaper ''21'!$D$53</definedName>
    <definedName name="Meter_and_beyond_lore" localSheetId="0">#REF!</definedName>
    <definedName name="Meter_and_beyond_lore">'[14]Risk Scoring Workpaper ''21'!$D$51</definedName>
    <definedName name="Meter_and_Beyond_Reliability" localSheetId="0">'[13]Risk Scoring Workpaper'!$D$54</definedName>
    <definedName name="Meter_and_beyond_reliability">'[14]Risk Scoring Workpaper ''21'!$D$54</definedName>
    <definedName name="Meter_and_Beyond_Safety" localSheetId="0">'[13]Risk Scoring Workpaper'!$D$52</definedName>
    <definedName name="Meter_and_beyond_safety">'[14]Risk Scoring Workpaper ''21'!$D$52</definedName>
    <definedName name="Meter_rng" localSheetId="0">#REF!</definedName>
    <definedName name="Meter_rng" localSheetId="5">#REF!</definedName>
    <definedName name="Meter_rng" localSheetId="4">#REF!</definedName>
    <definedName name="Meter_rng" localSheetId="3">#REF!</definedName>
    <definedName name="Meter_rng">#REF!</definedName>
    <definedName name="Meter_wt" localSheetId="0">#REF!</definedName>
    <definedName name="Meter_wt" localSheetId="5">#REF!</definedName>
    <definedName name="Meter_wt" localSheetId="4">#REF!</definedName>
    <definedName name="Meter_wt" localSheetId="3">#REF!</definedName>
    <definedName name="Meter_wt">#REF!</definedName>
    <definedName name="NFinancial">'Master Inputs '!$F$12</definedName>
    <definedName name="Non_Vehicle_CoRE">'[15]Risk Scoring Workpaper ''21'!$D$19</definedName>
    <definedName name="Non_Vehicle_Financial">'[15]Risk Scoring Workpaper ''21'!$D$17</definedName>
    <definedName name="Non_Vehicle_LoRE">'[15]Risk Scoring Workpaper ''21'!$D$15</definedName>
    <definedName name="Non_Vehicle_Reliability">'[15]Risk Scoring Workpaper ''21'!$D$18</definedName>
    <definedName name="Non_Vehicle_Safety">'[15]Risk Scoring Workpaper ''21'!$D$16</definedName>
    <definedName name="non_vehicule_core">'[16]Risk Scoring Workpaper'!$D$43</definedName>
    <definedName name="non_vehicule_financial">'[16]Risk Scoring Workpaper'!$D$41</definedName>
    <definedName name="non_vehicule_lore">'[16]Risk Scoring Workpaper'!$D$39</definedName>
    <definedName name="non_vehicule_reliability">'[16]Risk Scoring Workpaper'!$D$41</definedName>
    <definedName name="NReliabilityIndex">'Master Inputs '!$F$11</definedName>
    <definedName name="NSafetyIndex">'Master Inputs '!$F$10</definedName>
    <definedName name="OM_Escalation_PTY25">'[7]Master Inputs'!$D$25</definedName>
    <definedName name="OM_Escalation_PTY26">'[7]Master Inputs'!$E$25</definedName>
    <definedName name="OM_Escalation_PTY27">'[7]Master Inputs'!$F$25</definedName>
    <definedName name="Overall">#REF!</definedName>
    <definedName name="Overall_CoRE" localSheetId="0">'[15]Risk Scoring Workpaper ''21'!$H$12</definedName>
    <definedName name="Overall_CoRE">'[14]Risk Scoring Workpaper ''21'!$H$27</definedName>
    <definedName name="overall_core_23" localSheetId="0">'[9]Risk Scoring Workpaper ''23'!$H$15</definedName>
    <definedName name="overall_core_23">'[10]Risk Scoring Workpaper ''23'!$H$15</definedName>
    <definedName name="Overall_financial" localSheetId="0">'[15]Risk Scoring Workpaper ''21'!$H$10</definedName>
    <definedName name="Overall_financial">'[14]Risk Scoring Workpaper ''21'!$H$25</definedName>
    <definedName name="overall_financial_23" localSheetId="0">'[9]Risk Scoring Workpaper ''23'!$H$14</definedName>
    <definedName name="overall_financial_23">'[10]Risk Scoring Workpaper ''23'!$H$14</definedName>
    <definedName name="Overall_LoRE" localSheetId="0">'[15]Risk Scoring Workpaper ''21'!$H$8</definedName>
    <definedName name="Overall_LoRE">'[14]Risk Scoring Workpaper ''21'!$H$23</definedName>
    <definedName name="overall_lore_23" localSheetId="0">'[9]Risk Scoring Workpaper ''23'!$H$11</definedName>
    <definedName name="overall_lore_23">'[10]Risk Scoring Workpaper ''23'!$H$11</definedName>
    <definedName name="Overall_reliability" localSheetId="0">'[15]Risk Scoring Workpaper ''21'!$H$11</definedName>
    <definedName name="Overall_reliability">'[14]Risk Scoring Workpaper ''21'!$H$26</definedName>
    <definedName name="overall_reliability_23" localSheetId="0">'[9]Risk Scoring Workpaper ''23'!$H$13</definedName>
    <definedName name="overall_reliability_23">'[10]Risk Scoring Workpaper ''23'!$H$13</definedName>
    <definedName name="Overall_safety" localSheetId="0">'[15]Risk Scoring Workpaper ''21'!$H$9</definedName>
    <definedName name="Overall_safety">'[14]Risk Scoring Workpaper ''21'!$H$24</definedName>
    <definedName name="overall_safety_23" localSheetId="0">'[9]Risk Scoring Workpaper ''23'!$H$12</definedName>
    <definedName name="overall_safety_23">'[10]Risk Scoring Workpaper ''23'!$H$12</definedName>
    <definedName name="Pal_Workbook_GUID" hidden="1">"NZGZZ9T4W23R58RYHXEXFXTX"</definedName>
    <definedName name="Percent" localSheetId="5">'[6]3. Portfolio Sensitivity'!$BJ$1:$BJ$9</definedName>
    <definedName name="Percent" localSheetId="4">'[6]3. Portfolio Sensitivity'!$BJ$1:$BJ$9</definedName>
    <definedName name="Percent" localSheetId="3">'[6]3. Portfolio Sensitivity'!$BJ$1:$BJ$9</definedName>
    <definedName name="Percent">#REF!</definedName>
    <definedName name="PILC_PEJ_CU">[1]RSE_Inputs!$B$42</definedName>
    <definedName name="piping_CoRE">'[2]Risk Scoring Workpaper'!$D$34</definedName>
    <definedName name="piping_financial">'[2]Risk Scoring Workpaper'!$D$32</definedName>
    <definedName name="piping_LoRE">'[2]Risk Scoring Workpaper'!$D$30</definedName>
    <definedName name="piping_reliability">'[2]Risk Scoring Workpaper'!$D$33</definedName>
    <definedName name="piping_safety">'[2]Risk Scoring Workpaper'!$D$31</definedName>
    <definedName name="Plastic_core" localSheetId="0">#REF!</definedName>
    <definedName name="Plastic_core">'[14]Risk Scoring Workpaper ''21'!$H$34</definedName>
    <definedName name="Plastic_financial" localSheetId="0">#REF!</definedName>
    <definedName name="Plastic_financial">'[14]Risk Scoring Workpaper ''21'!$H$32</definedName>
    <definedName name="Plastic_LoRE" localSheetId="0">#REF!</definedName>
    <definedName name="Plastic_LoRE">'[14]Risk Scoring Workpaper ''21'!$H$30</definedName>
    <definedName name="Plastic_Main">#REF!</definedName>
    <definedName name="Plastic_Main_Core" localSheetId="0">'[13]Risk Scoring Workpaper'!$D$27</definedName>
    <definedName name="Plastic_Main_core">'[14]Risk Scoring Workpaper ''21'!$D$27</definedName>
    <definedName name="Plastic_Main_Financial" localSheetId="0">'[13]Risk Scoring Workpaper'!$D$25</definedName>
    <definedName name="Plastic_Main_financial">'[14]Risk Scoring Workpaper ''21'!$D$25</definedName>
    <definedName name="Plastic_Main_LoRE" localSheetId="0">'[13]Risk Scoring Workpaper'!$D$23</definedName>
    <definedName name="Plastic_Main_LoRE">'[14]Risk Scoring Workpaper ''21'!$D$23</definedName>
    <definedName name="Plastic_Main_Reliability" localSheetId="0">'[13]Risk Scoring Workpaper'!$D$26</definedName>
    <definedName name="Plastic_Main_reliability">'[14]Risk Scoring Workpaper ''21'!$D$26</definedName>
    <definedName name="Plastic_Main_Safety" localSheetId="0">'[13]Risk Scoring Workpaper'!$D$24</definedName>
    <definedName name="Plastic_Main_safety">'[14]Risk Scoring Workpaper ''21'!$D$24</definedName>
    <definedName name="Plastic_reliability" localSheetId="0">#REF!</definedName>
    <definedName name="Plastic_reliability">'[14]Risk Scoring Workpaper ''21'!$H$33</definedName>
    <definedName name="Plastic_safety" localSheetId="0">#REF!</definedName>
    <definedName name="Plastic_safety">'[14]Risk Scoring Workpaper ''21'!$H$31</definedName>
    <definedName name="Plastic_Servcie">#REF!</definedName>
    <definedName name="Plastic_Service_CoRE" localSheetId="0">'[13]Risk Scoring Workpaper'!$D$34</definedName>
    <definedName name="Plastic_Service_core">'[14]Risk Scoring Workpaper ''21'!$D$34</definedName>
    <definedName name="Plastic_Service_Financial" localSheetId="0">'[13]Risk Scoring Workpaper'!$D$32</definedName>
    <definedName name="Plastic_Service_financial">'[14]Risk Scoring Workpaper ''21'!$D$32</definedName>
    <definedName name="Plastic_Service_LoRE" localSheetId="0">'[13]Risk Scoring Workpaper'!$D$30</definedName>
    <definedName name="Plastic_Service_LoRE">'[14]Risk Scoring Workpaper ''21'!$D$30</definedName>
    <definedName name="Plastic_Service_Reliability" localSheetId="0">'[13]Risk Scoring Workpaper'!$D$33</definedName>
    <definedName name="Plastic_Service_reliability">'[14]Risk Scoring Workpaper ''21'!$D$33</definedName>
    <definedName name="Plastic_Service_Safety" localSheetId="0">'[13]Risk Scoring Workpaper'!$D$31</definedName>
    <definedName name="Plastic_Service_safety">'[14]Risk Scoring Workpaper ''21'!$D$31</definedName>
    <definedName name="_xlnm.Print_Area" localSheetId="0">Cover!$A$1:$K$29</definedName>
    <definedName name="Program_Strategy">[17]Lookups!$G$3:$G$9</definedName>
    <definedName name="psp3_reliability">'[18]Risk Scoring Workpaper'!$D$34</definedName>
    <definedName name="PSPS">Master_Table!$B$3:$B$5</definedName>
    <definedName name="psps2_core">'[18]Risk Scoring Workpaper'!$D$43</definedName>
    <definedName name="psps2_financial">'[18]Risk Scoring Workpaper'!$D$42</definedName>
    <definedName name="psps2_lore">'[18]Risk Scoring Workpaper'!$D$39</definedName>
    <definedName name="psps2_reliability">'[18]Risk Scoring Workpaper'!$D$41</definedName>
    <definedName name="psps2_safety">'[18]Risk Scoring Workpaper'!$D$40</definedName>
    <definedName name="psps3_core">'[18]Risk Scoring Workpaper'!$D$36</definedName>
    <definedName name="psps3_financial">'[18]Risk Scoring Workpaper'!$D$35</definedName>
    <definedName name="psps3_lore">'[18]Risk Scoring Workpaper'!$D$32</definedName>
    <definedName name="psps3_safety">'[18]Risk Scoring Workpaper'!$D$33</definedName>
    <definedName name="Readability_factor">'[18]Master Inputs'!$C$6</definedName>
    <definedName name="ReadabilityFactor">'Master Inputs '!$C$17</definedName>
    <definedName name="Readibility_Factor">100000</definedName>
    <definedName name="Reliability_Index_Range" localSheetId="0">#REF!</definedName>
    <definedName name="Reliability_Index_Range" localSheetId="5">'Master Inputs '!$C$11</definedName>
    <definedName name="Reliability_Index_Range" localSheetId="4">'[4]Master Inputs'!$C$11</definedName>
    <definedName name="Reliability_Index_Range" localSheetId="3">'[4]Master Inputs'!$C$11</definedName>
    <definedName name="Reliability_Index_Range">'[5]Master Inputs'!$C$11</definedName>
    <definedName name="Reliability_Index_Weight" localSheetId="0">#REF!</definedName>
    <definedName name="Reliability_Index_Weight" localSheetId="5">'Master Inputs '!$D$11</definedName>
    <definedName name="Reliability_Index_Weight" localSheetId="4">'[4]Master Inputs'!$D$11</definedName>
    <definedName name="Reliability_Index_Weight" localSheetId="3">'[4]Master Inputs'!$D$11</definedName>
    <definedName name="Reliability_Index_Weight">'[5]Master Inputs'!$D$11</definedName>
    <definedName name="Reliability_Rng">'[14]Master Inputs'!$C$11</definedName>
    <definedName name="Reliability_wt" localSheetId="0">#REF!</definedName>
    <definedName name="Reliability_wt" localSheetId="5">#REF!</definedName>
    <definedName name="Reliability_wt" localSheetId="4">#REF!</definedName>
    <definedName name="Reliability_wt" localSheetId="3">#REF!</definedName>
    <definedName name="Reliability_wt">#REF!</definedName>
    <definedName name="Repaircost__Breaker">[1]RSE_Inputs!$B$85</definedName>
    <definedName name="Repaircost_BK30_Transformer">[1]RSE_Inputs!$B$84</definedName>
    <definedName name="Repaircost_BK40_Transformer">[1]RSE_Inputs!$B$83</definedName>
    <definedName name="RepairCost_BusTie">[1]RSE_Inputs!$B$87</definedName>
    <definedName name="Repaircost_Capacitor">[1]RSE_Inputs!$B$86</definedName>
    <definedName name="RepairCost_Distribution_OH_and_UG">[1]RSE_Inputs!$B$89</definedName>
    <definedName name="Repaircost_DOE_Switch_Replacement">[1]RSE_Inputs!$B$90</definedName>
    <definedName name="Request" localSheetId="0">#REF!</definedName>
    <definedName name="Request" localSheetId="5">#REF!</definedName>
    <definedName name="Request" localSheetId="4">#REF!</definedName>
    <definedName name="Request" localSheetId="3">#REF!</definedName>
    <definedName name="Request">#REF!</definedName>
    <definedName name="RequestType">[17]Lookups!$C$3:$C$5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ColorCellsFormulaText" hidden="1">_xlfn.FORMULATEXT(INDIRECT(ADDRESS(ROW(), COLUMN())))</definedName>
    <definedName name="RiskColorCellsFunctionName" localSheetId="0" hidden="1">MID(RiskColorCellsFormulaText,Cover!RiskColorCellsFunctionP1,Cover!RiskColorCellsFunctionP2 - Cover!RiskColorCellsFunctionP1)</definedName>
    <definedName name="RiskColorCellsFunctionName" hidden="1">MID(RiskColorCellsFormulaText,RiskColorCellsFunctionP1,RiskColorCellsFunctionP2 - RiskColorCellsFunctionP1)</definedName>
    <definedName name="RiskColorCellsFunctionP1" localSheetId="0" hidden="1">SEARCH("Risk*(",RiskColorCellsFormulaText,1)+4</definedName>
    <definedName name="RiskColorCellsFunctionP1" hidden="1">SEARCH("Risk*(",RiskColorCellsFormulaText,1)+4</definedName>
    <definedName name="RiskColorCellsFunctionP2" localSheetId="0" hidden="1">SEARCH("(",RiskColorCellsFormulaText,Cover!RiskColorCellsFunctionP1)</definedName>
    <definedName name="RiskColorCellsFunctionP2" hidden="1">SEARCH("(",RiskColorCellsFormulaText,RiskColorCellsFunctionP1)</definedName>
    <definedName name="RiskColorCellsInputList" localSheetId="0" hidden="1">CONCATENATE(RiskColorCellsInputSubList1,RiskColorCellsInputSubList2)</definedName>
    <definedName name="RiskColorCellsInputList" hidden="1">CONCATENATE(RiskColorCellsInputSubList1,RiskColorCellsInputSubList2)</definedName>
    <definedName name="RiskColorCellsInputSubList1" hidden="1">CONCATENATE("|Bernoulli|Beta|BetaGeneral|BetaGeneralAlt|BetaGeneralAltD|BetaSubj|Binomial|Burr12|Cauchy|CauchyAlt|CauchyAltD|ChiSq|Compound|Cumul|CumulD|Dagum|Discrete|DoubleTriang|DUniform|Erf|Erlang|Expon|ExponAlt|ExponAltD|ExtValue|ExtValueAlt|ExtValueAltD|Ext","ValueMin|ExtValueMinAlt|ExtValueMinAltD|F|FatigueLife|FatigueLifeAlt|FatigueLifeAltD|Frechet|FrechetAlt|FrechetAltD|Gamma|GammaAlt|GammaAltD|General|Geomet|Histogrm|Hypergeo|HypSecant|HypSecantAlt|HypSecantAltD|IntUniform|Invgauss|InvgaussAlt|Invgaus","sAltD|JohnsonMoments|JohnsonSB|JohnsonSU|Kumaraswamy|Laplace|LaplaceAlt|LaplaceAltD|Levy|LevyAlt|LevyAltD|Logistic|LogisticAlt|")</definedName>
    <definedName name="RiskColorCellsInputSubList2" hidden="1">CONCATENATE("|LogisticAltD|Loglogistic|LoglogisticAlt|LoglogisticAltD|Lognorm|Lognorm2|LognormAlt|LognormAltD|NegBin|Normal|NormalAlt|NormalAltD|Pareto|Pareto2|Pareto2Alt|Pareto2AltD|ParetoAlt|ParetoAltD|Pearson5|Pearson5Alt|Pearson5AltD|Pearson6|Pert|PertAlt|Per","tAltD|Poisson|Rayleigh|RayleighAlt|RayleighAltD|Reciprocal|Resample|Splice|Student|Triang|TriangAlt|TriangAltD|Trigen|Uniform|UniformAlt|UniformAltD|Vary|Weibull|WeibullAlt|WeibullAltD|APARCH11|AR1|AR2|ARCH1|ARMA11|BMMR|BMMRJD|EGARCH11|GARCH11|GBM|GB","MJD|MA1|MA2|FitDistribution|MakeInput|SimTable|TExpon|TLognorm|TNormal|")</definedName>
    <definedName name="RiskColorCellsOptimization" hidden="1">1</definedName>
    <definedName name="RiskColorCellsOutputList" hidden="1">"|Output|"</definedName>
    <definedName name="RiskColorCellsSimInput" localSheetId="0" hidden="1">NOT(ISERROR(SEARCH("|"&amp;Cover!RiskColorCellsFunctionName&amp;"|",Cover!RiskColorCellsInputList)))</definedName>
    <definedName name="RiskColorCellsSimInput" hidden="1">NOT(ISERROR(SEARCH("|"&amp;RiskColorCellsFunctionName&amp;"|",RiskColorCellsInputList)))</definedName>
    <definedName name="RiskColorCellsSimOutput" localSheetId="0" hidden="1">NOT(ISERROR(SEARCH("|"&amp;Cover!RiskColorCellsFunctionName&amp;"|",RiskColorCellsOutputList)))</definedName>
    <definedName name="RiskColorCellsSimOutput" hidden="1">NOT(ISERROR(SEARCH("|"&amp;RiskColorCellsFunctionName&amp;"|",RiskColorCellsOutputList)))</definedName>
    <definedName name="RiskColorCellsSimStatistics" localSheetId="0" hidden="1">NOT(ISERROR(SEARCH("|"&amp;Cover!RiskColorCellsFunctionName&amp;"|",RiskColorCellsStatsList)))</definedName>
    <definedName name="RiskColorCellsSimStatistics" hidden="1">NOT(ISERROR(SEARCH("|"&amp;RiskColorCellsFunctionName&amp;"|",RiskColorCellsStatsList)))</definedName>
    <definedName name="RiskColorCellsStatsList" hidden="1">CONCATENATE("|CIMean|CoeffOfVariation|ConvergenceLevel|Correl|Cp|Cpk|CpkLower|CpkUpper|Cpm|Data|DPM|K|Kurtosis|LowerXBound|Max|Mean|MeanAbsDev|Min|Mode|Percentile|PercentileD|PNC|PNCLower|PNCUpper|PPMLower|PPMUpper|PtoX|QtoX|Range|SemiStdDev|SemiVariance|Sensitiv","ity|SensitivityStatChange|SigmaLevel|Skewness|StdDev|StdErrOfMean|Target|TargetD|TheoKurtosis|TheoMax|TheoMean|TheoMin|TheoMode|TheoPercentile|TheoPercentileD|TheoPtoX|TheoQtoX|TheoRange|TheoSkewness|TheoStdDev|TheoTarget|TheoTargetD|TheoVariance|The","oXtoP|TheoXtoQ|TheoXToY|UpperXBound|Variance|XtoP|XtoQ|YV|ZLower|ZMin|ZUpper|")</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imulationResultsStorageLocation"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W" localSheetId="4">#REF!</definedName>
    <definedName name="RSW" localSheetId="3">#REF!</definedName>
    <definedName name="Safety_Index_Range" localSheetId="0">'[3]Master Inputs'!$C$10</definedName>
    <definedName name="Safety_Index_Range" localSheetId="5">'Master Inputs '!$C$10</definedName>
    <definedName name="Safety_Index_Range" localSheetId="4">'[4]Master Inputs'!$C$10</definedName>
    <definedName name="Safety_Index_Range" localSheetId="3">'[4]Master Inputs'!$C$10</definedName>
    <definedName name="Safety_Index_Range">'[5]Master Inputs'!$C$10</definedName>
    <definedName name="Safety_Index_Weight" localSheetId="0">'[3]Master Inputs'!$D$10</definedName>
    <definedName name="Safety_Index_Weight" localSheetId="5">'Master Inputs '!$D$10</definedName>
    <definedName name="Safety_Index_Weight" localSheetId="4">'[4]Master Inputs'!$D$10</definedName>
    <definedName name="Safety_Index_Weight" localSheetId="3">'[4]Master Inputs'!$D$10</definedName>
    <definedName name="Safety_Index_Weight">'[5]Master Inputs'!$D$10</definedName>
    <definedName name="Safety_Rng" localSheetId="0">#REF!</definedName>
    <definedName name="Safety_Rng" localSheetId="5">#REF!</definedName>
    <definedName name="Safety_Rng" localSheetId="4">#REF!</definedName>
    <definedName name="Safety_Rng" localSheetId="3">#REF!</definedName>
    <definedName name="Safety_Rng">#REF!</definedName>
    <definedName name="Safety_wt" localSheetId="0">#REF!</definedName>
    <definedName name="Safety_wt" localSheetId="5">#REF!</definedName>
    <definedName name="Safety_wt" localSheetId="4">#REF!</definedName>
    <definedName name="Safety_wt" localSheetId="3">#REF!</definedName>
    <definedName name="Safety_wt">#REF!</definedName>
    <definedName name="SafetyCustomerMinutes">'Master Inputs '!$C$19</definedName>
    <definedName name="SAIDI_Range" localSheetId="5">'[19]Master Inputs '!$C$18</definedName>
    <definedName name="SAIDI_Range" localSheetId="4">'[19]Master Inputs '!$C$18</definedName>
    <definedName name="SAIDI_Range" localSheetId="3">'[19]Master Inputs '!$C$18</definedName>
    <definedName name="SAIDI_Range">'[19]Master Inputs '!$C$18</definedName>
    <definedName name="SAIDI_Weight" localSheetId="5">'[19]Master Inputs '!$D$18</definedName>
    <definedName name="SAIDI_Weight" localSheetId="4">'[19]Master Inputs '!$D$18</definedName>
    <definedName name="SAIDI_Weight" localSheetId="3">'[19]Master Inputs '!$D$18</definedName>
    <definedName name="SAIDI_Weight">'[19]Master Inputs '!$D$18</definedName>
    <definedName name="SAIFI_Range" localSheetId="5">'[19]Master Inputs '!$C$17</definedName>
    <definedName name="SAIFI_Range" localSheetId="4">'[19]Master Inputs '!$C$17</definedName>
    <definedName name="SAIFI_Range" localSheetId="3">'[19]Master Inputs '!$C$17</definedName>
    <definedName name="SAIFI_Range">'[19]Master Inputs '!$C$17</definedName>
    <definedName name="SAIFI_Weight" localSheetId="5">'[19]Master Inputs '!$D$17</definedName>
    <definedName name="SAIFI_Weight" localSheetId="4">'[19]Master Inputs '!$D$17</definedName>
    <definedName name="SAIFI_Weight" localSheetId="3">'[19]Master Inputs '!$D$17</definedName>
    <definedName name="SAIFI_Weight">'[19]Master Inputs '!$D$17</definedName>
    <definedName name="SCADA_Capacitor__after">[1]RSE_Inputs!$B$44</definedName>
    <definedName name="SCADA_Capacitor__before">[1]RSE_Inputs!$B$43</definedName>
    <definedName name="Serious_Injuries_val" localSheetId="0">#REF!</definedName>
    <definedName name="Serious_Injuries_val" localSheetId="5">#REF!</definedName>
    <definedName name="Serious_Injuries_val" localSheetId="4">#REF!</definedName>
    <definedName name="Serious_Injuries_val" localSheetId="3">#REF!</definedName>
    <definedName name="Serious_Injuries_val">#REF!</definedName>
    <definedName name="SS_Distribution_only_incident__north_harbor">[1]Stakerholder!$I$6</definedName>
    <definedName name="SS_Distribution_only_incident__not_north_harbor">[1]Stakerholder!$I$5</definedName>
    <definedName name="SS_Safety_related_incident__OPS_only">[1]Stakerholder!$I$4</definedName>
    <definedName name="SS_Substation_only_incident">[1]Stakerholder!$I$7</definedName>
    <definedName name="Stakeholder_Satisfaction_Index_Range" localSheetId="0">'[3]Master Inputs'!$C$13</definedName>
    <definedName name="Stakeholder_Satisfaction_Index_Range" localSheetId="5">'Master Inputs '!$C$13</definedName>
    <definedName name="Stakeholder_Satisfaction_Index_Range" localSheetId="4">'[4]Master Inputs'!$C$13</definedName>
    <definedName name="Stakeholder_Satisfaction_Index_Range" localSheetId="3">'[4]Master Inputs'!$C$13</definedName>
    <definedName name="Stakeholder_Satisfaction_Index_Range">'[5]Master Inputs'!$C$13</definedName>
    <definedName name="Stakeholder_Satisfaction_Index_Weight" localSheetId="0">'[3]Master Inputs'!$D$13</definedName>
    <definedName name="Stakeholder_Satisfaction_Index_Weight" localSheetId="5">'Master Inputs '!$D$13</definedName>
    <definedName name="Stakeholder_Satisfaction_Index_Weight" localSheetId="4">'[4]Master Inputs'!$D$13</definedName>
    <definedName name="Stakeholder_Satisfaction_Index_Weight" localSheetId="3">'[4]Master Inputs'!$D$13</definedName>
    <definedName name="Stakeholder_Satisfaction_Index_Weight">'[5]Master Inputs'!$D$13</definedName>
    <definedName name="Stakeholder_Satisfaction_Rng" localSheetId="0">#REF!</definedName>
    <definedName name="Stakeholder_Satisfaction_Rng" localSheetId="5">#REF!</definedName>
    <definedName name="Stakeholder_Satisfaction_Rng" localSheetId="4">#REF!</definedName>
    <definedName name="Stakeholder_Satisfaction_Rng" localSheetId="3">#REF!</definedName>
    <definedName name="Stakeholder_Satisfaction_Rng">#REF!</definedName>
    <definedName name="Stakeholder_Satisfaction_wt" localSheetId="0">#REF!</definedName>
    <definedName name="Stakeholder_Satisfaction_wt" localSheetId="5">#REF!</definedName>
    <definedName name="Stakeholder_Satisfaction_wt" localSheetId="4">#REF!</definedName>
    <definedName name="Stakeholder_Satisfaction_wt" localSheetId="3">#REF!</definedName>
    <definedName name="Stakeholder_Satisfaction_wt">#REF!</definedName>
    <definedName name="Steel_core" localSheetId="0">#REF!</definedName>
    <definedName name="Steel_core">'[14]Risk Scoring Workpaper ''21'!$H$41</definedName>
    <definedName name="Steel_financial" localSheetId="0">#REF!</definedName>
    <definedName name="Steel_financial">'[14]Risk Scoring Workpaper ''21'!$H$39</definedName>
    <definedName name="Steel_LoRE" localSheetId="0">#REF!</definedName>
    <definedName name="Steel_LoRE">'[14]Risk Scoring Workpaper ''21'!$H$37</definedName>
    <definedName name="Steel_Main_CoRE" localSheetId="0">'[13]Risk Scoring Workpaper'!$D$41</definedName>
    <definedName name="Steel_Main_core">'[14]Risk Scoring Workpaper ''21'!$D$41</definedName>
    <definedName name="Steel_Main_Financial" localSheetId="0">'[13]Risk Scoring Workpaper'!$D$39</definedName>
    <definedName name="Steel_Main_financial">'[14]Risk Scoring Workpaper ''21'!$D$39</definedName>
    <definedName name="Steel_Main_LoRE" localSheetId="0">'[13]Risk Scoring Workpaper'!$D$37</definedName>
    <definedName name="Steel_Main_LoRE">'[14]Risk Scoring Workpaper ''21'!$D$37</definedName>
    <definedName name="Steel_Main_Reliability" localSheetId="0">'[13]Risk Scoring Workpaper'!$D$40</definedName>
    <definedName name="Steel_Main_reliability">'[14]Risk Scoring Workpaper ''21'!$D$40</definedName>
    <definedName name="Steel_Main_Safety" localSheetId="0">'[13]Risk Scoring Workpaper'!$D$38</definedName>
    <definedName name="Steel_Main_safety">'[14]Risk Scoring Workpaper ''21'!$D$38</definedName>
    <definedName name="Steel_mainnn">#REF!</definedName>
    <definedName name="Steel_reliability" localSheetId="0">#REF!</definedName>
    <definedName name="Steel_reliability">'[14]Risk Scoring Workpaper ''21'!$H$40</definedName>
    <definedName name="Steel_safety" localSheetId="0">#REF!</definedName>
    <definedName name="Steel_safety">'[14]Risk Scoring Workpaper ''21'!$H$38</definedName>
    <definedName name="Steel_Service">#REF!</definedName>
    <definedName name="Steel_Service_CoRE" localSheetId="0">'[13]Risk Scoring Workpaper'!$D$48</definedName>
    <definedName name="Steel_Service_core">'[14]Risk Scoring Workpaper ''21'!$D$48</definedName>
    <definedName name="Steel_Service_Financial" localSheetId="0">'[13]Risk Scoring Workpaper'!$D$46</definedName>
    <definedName name="Steel_Service_financial">'[14]Risk Scoring Workpaper ''21'!$D$46</definedName>
    <definedName name="Steel_Service_LoRE" localSheetId="0">#REF!</definedName>
    <definedName name="Steel_Service_LoRE">'[14]Risk Scoring Workpaper ''21'!$D$44</definedName>
    <definedName name="Steel_Service_Reliability" localSheetId="0">'[13]Risk Scoring Workpaper'!$D$47</definedName>
    <definedName name="Steel_Service_reliability">'[14]Risk Scoring Workpaper ''21'!$D$47</definedName>
    <definedName name="Steel_Service_Safety" localSheetId="0">'[13]Risk Scoring Workpaper'!$D$45</definedName>
    <definedName name="Steel_Service_safety">'[14]Risk Scoring Workpaper ''21'!$D$45</definedName>
    <definedName name="substation_core_23" localSheetId="0">'[9]Risk Scoring Workpaper ''23'!$D$26</definedName>
    <definedName name="substation_core_23">'[10]Risk Scoring Workpaper ''23'!$D$26</definedName>
    <definedName name="substation_financial_23" localSheetId="0">'[9]Risk Scoring Workpaper ''23'!$D$25</definedName>
    <definedName name="substation_financial_23">'[10]Risk Scoring Workpaper ''23'!$D$25</definedName>
    <definedName name="substation_lore_23" localSheetId="0">'[9]Risk Scoring Workpaper ''23'!$D$22</definedName>
    <definedName name="substation_lore_23">'[10]Risk Scoring Workpaper ''23'!$D$22</definedName>
    <definedName name="substation_reliability_23" localSheetId="0">'[9]Risk Scoring Workpaper ''23'!$D$24</definedName>
    <definedName name="substation_reliability_23">'[10]Risk Scoring Workpaper ''23'!$D$24</definedName>
    <definedName name="substation_safety_23" localSheetId="0">'[9]Risk Scoring Workpaper ''23'!$D$23</definedName>
    <definedName name="substation_safety_23">'[10]Risk Scoring Workpaper ''23'!$D$23</definedName>
    <definedName name="Substation_Transformer">[1]RSE_Inputs!$B$36</definedName>
    <definedName name="Substation_Transformer___30years">[1]RSE_Inputs!$B$33</definedName>
    <definedName name="supply_line_core">#REF!</definedName>
    <definedName name="supply_line_financial" localSheetId="0">'[12]Risk Scoring Workpaper ''21'!$D$62</definedName>
    <definedName name="supply_line_financial">#REF!</definedName>
    <definedName name="supply_line_lore" localSheetId="0">'[12]Risk Scoring Workpaper ''21'!$D$60</definedName>
    <definedName name="supply_line_lore">#REF!</definedName>
    <definedName name="supply_line_reliability" localSheetId="0">'[12]Risk Scoring Workpaper ''21'!$D$63</definedName>
    <definedName name="supply_line_reliability">#REF!</definedName>
    <definedName name="supply_line_safety" localSheetId="0">'[12]Risk Scoring Workpaper ''21'!$D$61</definedName>
    <definedName name="supply_line_safety">#REF!</definedName>
    <definedName name="System_total_Customers">[1]RSE_Inputs!$B$22</definedName>
    <definedName name="TotalCustomersSDGE">'Master Inputs '!$C$20</definedName>
    <definedName name="transmission_core" localSheetId="0">#REF!</definedName>
    <definedName name="transmission_core">#REF!</definedName>
    <definedName name="transmission_financial" localSheetId="0">'[12]Risk Scoring Workpaper ''21'!$D$48</definedName>
    <definedName name="transmission_financial">#REF!</definedName>
    <definedName name="transmission_hca_core" localSheetId="0">#REF!</definedName>
    <definedName name="transmission_hca_core">#REF!</definedName>
    <definedName name="transmission_hca_financial" localSheetId="0">'[12]Risk Scoring Workpaper ''21'!$D$41</definedName>
    <definedName name="transmission_hca_financial">#REF!</definedName>
    <definedName name="transmission_hca_lore" localSheetId="0">'[12]Risk Scoring Workpaper ''21'!$D$39</definedName>
    <definedName name="transmission_hca_lore">#REF!</definedName>
    <definedName name="transmission_hca_reliability" localSheetId="0">'[12]Risk Scoring Workpaper ''21'!$D$42</definedName>
    <definedName name="transmission_hca_reliability">#REF!</definedName>
    <definedName name="transmission_hca_safety" localSheetId="0">'[12]Risk Scoring Workpaper ''21'!$D$40</definedName>
    <definedName name="transmission_hca_safety">#REF!</definedName>
    <definedName name="transmission_lore" localSheetId="0">'[12]Risk Scoring Workpaper ''21'!$D$46</definedName>
    <definedName name="transmission_lore">#REF!</definedName>
    <definedName name="transmission_reliability" localSheetId="0">'[12]Risk Scoring Workpaper ''21'!$D$49</definedName>
    <definedName name="transmission_reliability">#REF!</definedName>
    <definedName name="transmission_safety" localSheetId="0">'[12]Risk Scoring Workpaper ''21'!$D$47</definedName>
    <definedName name="transmission_safety">#REF!</definedName>
    <definedName name="UG_Branch___Jacketed">[1]RSE_Inputs!$B$28</definedName>
    <definedName name="UG_Branch___Unjacketed">[1]RSE_Inputs!$B$29</definedName>
    <definedName name="UG_Feeder___Jacketed">[1]RSE_Inputs!$B$30</definedName>
    <definedName name="UG_Feeder___Unjacketed">[1]RSE_Inputs!$B$31</definedName>
    <definedName name="Vehicle_CoRE">'[15]Risk Scoring Workpaper ''21'!$D$12</definedName>
    <definedName name="Vehicle_Financial">'[15]Risk Scoring Workpaper ''21'!$D$10</definedName>
    <definedName name="Vehicle_incident_LoRE">'[15]Risk Scoring Workpaper ''21'!$D$8</definedName>
    <definedName name="Vehicle_Reliability">'[15]Risk Scoring Workpaper ''21'!$D$11</definedName>
    <definedName name="Vehicle_Safety">'[15]Risk Scoring Workpaper ''21'!$D$9</definedName>
    <definedName name="vehicule_core">'[16]Risk Scoring Workpaper'!$D$36</definedName>
    <definedName name="vehicule_financial">'[16]Risk Scoring Workpaper'!$D$34</definedName>
    <definedName name="Vehicule_LoRE">'[16]Risk Scoring Workpaper'!$D$32</definedName>
    <definedName name="vehicule_reliability">'[16]Risk Scoring Workpaper'!$D$35</definedName>
    <definedName name="Vehicule_safety">'[16]Risk Scoring Workpaper'!$D$33</definedName>
    <definedName name="WACC" localSheetId="0">'[20]Master Inputs'!$C$6</definedName>
    <definedName name="WACC">'[21]Master Inputs'!$C$6</definedName>
    <definedName name="WF">Master_Table!$B$6:$B$9</definedName>
    <definedName name="wf_non_hftd_core">'[18]Risk Scoring Workpaper'!$D$22</definedName>
    <definedName name="wf_non_hftd_financial">'[18]Risk Scoring Workpaper'!$D$21</definedName>
    <definedName name="wf_non_hftd_lore">'[18]Risk Scoring Workpaper'!$D$18</definedName>
    <definedName name="wf_non_hftd_reliability">'[18]Risk Scoring Workpaper'!$D$20</definedName>
    <definedName name="wf_non_hftd_safety">'[18]Risk Scoring Workpaper'!$D$19</definedName>
    <definedName name="wf2_core">'[18]Risk Scoring Workpaper'!$D$15</definedName>
    <definedName name="wf2_financial">'[18]Risk Scoring Workpaper'!$D$14</definedName>
    <definedName name="wf2_lore">'[18]Risk Scoring Workpaper'!$D$11</definedName>
    <definedName name="wf2_reliability">'[18]Risk Scoring Workpaper'!$D$13</definedName>
    <definedName name="wf2_safety">'[18]Risk Scoring Workpaper'!$D$12</definedName>
    <definedName name="wf3_core">'[18]Risk Scoring Workpaper'!$D$8</definedName>
    <definedName name="wf3_financial">'[18]Risk Scoring Workpaper'!$D$7</definedName>
    <definedName name="wf3_lore">'[18]Risk Scoring Workpaper'!$D$4</definedName>
    <definedName name="wf3_reliability">'[18]Risk Scoring Workpaper'!$D$6</definedName>
    <definedName name="wf3_safety">'[18]Risk Scoring Workpaper'!$D$5</definedName>
    <definedName name="YorN" localSheetId="5">'[19]3. Portfolio Sensitivity'!$AE$1:$AE$2</definedName>
    <definedName name="YorN" localSheetId="4">'[19]3. Portfolio Sensitivity'!$AE$1:$AE$2</definedName>
    <definedName name="YorN" localSheetId="3">'[19]3. Portfolio Sensitivity'!$AE$1:$AE$2</definedName>
    <definedName name="YorN">'[19]3. Portfolio Sensitivity'!$AE$1:$AE$2</definedName>
  </definedNames>
  <calcPr calcId="191028"/>
  <customWorkbookViews>
    <customWorkbookView name="Menu" guid="{D05417A5-79DD-4039-A840-6AA87DDE73DF}" xWindow="1968" yWindow="2" windowWidth="2496" windowHeight="1315" activeSheetId="7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19" l="1"/>
  <c r="H23" i="19"/>
  <c r="C18" i="196"/>
  <c r="P44" i="97"/>
  <c r="H21" i="196"/>
  <c r="G21" i="196"/>
  <c r="H20" i="196"/>
  <c r="G20" i="196"/>
  <c r="H18" i="196"/>
  <c r="G18" i="196"/>
  <c r="H15" i="196"/>
  <c r="G15" i="196"/>
  <c r="H14" i="196"/>
  <c r="G14" i="196"/>
  <c r="K14" i="196"/>
  <c r="L14" i="196"/>
  <c r="H13" i="196"/>
  <c r="G13" i="196"/>
  <c r="H11" i="196"/>
  <c r="G11" i="196"/>
  <c r="H12" i="196"/>
  <c r="G12" i="196"/>
  <c r="H5" i="196"/>
  <c r="G5" i="196"/>
  <c r="L12" i="196"/>
  <c r="K12" i="196"/>
  <c r="L5" i="196"/>
  <c r="L11" i="196" s="1"/>
  <c r="K5" i="196"/>
  <c r="K11" i="196" s="1"/>
  <c r="L31" i="196"/>
  <c r="K31" i="196"/>
  <c r="L27" i="196"/>
  <c r="K27" i="196"/>
  <c r="L18" i="196"/>
  <c r="K18" i="196"/>
  <c r="L23" i="196"/>
  <c r="K23" i="196"/>
  <c r="D15" i="196"/>
  <c r="C15" i="196"/>
  <c r="D17" i="196"/>
  <c r="C17" i="196"/>
  <c r="D11" i="196"/>
  <c r="C11" i="196"/>
  <c r="K24" i="196" l="1"/>
  <c r="L24" i="196"/>
  <c r="K13" i="196"/>
  <c r="K15" i="196" s="1"/>
  <c r="L13" i="196"/>
  <c r="L15" i="196" s="1"/>
  <c r="D5" i="196"/>
  <c r="C5" i="196"/>
  <c r="L30" i="196" l="1"/>
  <c r="L32" i="196" s="1"/>
  <c r="K30" i="196"/>
  <c r="K32" i="196" s="1"/>
  <c r="C6" i="196" l="1"/>
  <c r="C12" i="196" s="1"/>
  <c r="D6" i="196"/>
  <c r="D12" i="196" s="1"/>
  <c r="D18" i="196" s="1"/>
  <c r="U43" i="80" l="1"/>
  <c r="V43" i="80" s="1"/>
  <c r="W43" i="80" s="1"/>
  <c r="X43" i="80" s="1"/>
  <c r="U42" i="80"/>
  <c r="V42" i="80" s="1"/>
  <c r="W42" i="80" s="1"/>
  <c r="X42" i="80" s="1"/>
  <c r="U40" i="80"/>
  <c r="V40" i="80" s="1"/>
  <c r="W40" i="80" s="1"/>
  <c r="X40" i="80" s="1"/>
  <c r="U39" i="80"/>
  <c r="V39" i="80" s="1"/>
  <c r="W39" i="80" s="1"/>
  <c r="X39" i="80" s="1"/>
  <c r="X64" i="153"/>
  <c r="Y64" i="153" s="1"/>
  <c r="Z64" i="153" s="1"/>
  <c r="AA64" i="153" s="1"/>
  <c r="X63" i="153"/>
  <c r="Y63" i="153" s="1"/>
  <c r="Z63" i="153" s="1"/>
  <c r="AA63" i="153" s="1"/>
  <c r="R57" i="19"/>
  <c r="W57" i="19"/>
  <c r="D34" i="182"/>
  <c r="D39" i="182"/>
  <c r="D46" i="182"/>
  <c r="L46" i="97"/>
  <c r="L47" i="97"/>
  <c r="O34" i="160" l="1"/>
  <c r="O24" i="160"/>
  <c r="O23" i="160"/>
  <c r="X50" i="153" l="1"/>
  <c r="Y50" i="153"/>
  <c r="Z50" i="153"/>
  <c r="AA50" i="153"/>
  <c r="AB50" i="153"/>
  <c r="X51" i="153"/>
  <c r="Y51" i="153"/>
  <c r="Z51" i="153"/>
  <c r="AA51" i="153"/>
  <c r="AB51" i="153"/>
  <c r="R15" i="97" l="1"/>
  <c r="E73" i="182" l="1"/>
  <c r="E60" i="182"/>
  <c r="E68" i="182" s="1"/>
  <c r="E82" i="182"/>
  <c r="E81" i="182"/>
  <c r="W58" i="19"/>
  <c r="W59" i="19"/>
  <c r="S59" i="19"/>
  <c r="T59" i="19"/>
  <c r="U59" i="19"/>
  <c r="V59" i="19"/>
  <c r="R59" i="19"/>
  <c r="S58" i="19"/>
  <c r="T58" i="19"/>
  <c r="U58" i="19"/>
  <c r="V58" i="19"/>
  <c r="R58" i="19"/>
  <c r="S57" i="19"/>
  <c r="T57" i="19"/>
  <c r="U57" i="19"/>
  <c r="V57" i="19"/>
  <c r="S56" i="19"/>
  <c r="T56" i="19"/>
  <c r="U56" i="19"/>
  <c r="V56" i="19"/>
  <c r="R56" i="19"/>
  <c r="F2" i="80"/>
  <c r="G2" i="80"/>
  <c r="H2" i="80"/>
  <c r="I2" i="80"/>
  <c r="J2" i="80"/>
  <c r="K2" i="80"/>
  <c r="L2" i="80"/>
  <c r="F3" i="80"/>
  <c r="G3" i="80"/>
  <c r="H3" i="80"/>
  <c r="I3" i="80"/>
  <c r="J3" i="80"/>
  <c r="K3" i="80"/>
  <c r="L3" i="80"/>
  <c r="F4" i="80"/>
  <c r="G4" i="80"/>
  <c r="H4" i="80"/>
  <c r="I4" i="80"/>
  <c r="J4" i="80"/>
  <c r="K4" i="80"/>
  <c r="L4" i="80"/>
  <c r="K5" i="80"/>
  <c r="F6" i="80"/>
  <c r="G6" i="80"/>
  <c r="H6" i="80"/>
  <c r="I6" i="80"/>
  <c r="J6" i="80"/>
  <c r="K6" i="80"/>
  <c r="L6" i="80"/>
  <c r="K7" i="80"/>
  <c r="K8" i="80"/>
  <c r="F16" i="80"/>
  <c r="F15" i="80"/>
  <c r="E15" i="80"/>
  <c r="E16" i="80"/>
  <c r="B15" i="80"/>
  <c r="B16" i="80"/>
  <c r="B18" i="80"/>
  <c r="J16" i="97"/>
  <c r="J15" i="97"/>
  <c r="N31" i="97"/>
  <c r="N30" i="97"/>
  <c r="G37" i="153"/>
  <c r="G36" i="153"/>
  <c r="G35" i="153"/>
  <c r="F36" i="153"/>
  <c r="F37" i="153"/>
  <c r="F35" i="153"/>
  <c r="H35" i="153" s="1"/>
  <c r="K18" i="80"/>
  <c r="E79" i="184"/>
  <c r="E78" i="184"/>
  <c r="G22" i="80"/>
  <c r="G21" i="80"/>
  <c r="F22" i="80"/>
  <c r="F21" i="80"/>
  <c r="E74" i="184"/>
  <c r="E73" i="184"/>
  <c r="D28" i="184" s="1"/>
  <c r="E54" i="184"/>
  <c r="E69" i="184" s="1"/>
  <c r="E53" i="184"/>
  <c r="E71" i="184"/>
  <c r="H28" i="184"/>
  <c r="E67" i="184"/>
  <c r="E66" i="184"/>
  <c r="E65" i="182" l="1"/>
  <c r="E67" i="182"/>
  <c r="E66" i="182"/>
  <c r="D53" i="185"/>
  <c r="H53" i="185"/>
  <c r="E68" i="184"/>
  <c r="D21" i="184" s="1"/>
  <c r="D46" i="185" s="1"/>
  <c r="E63" i="184"/>
  <c r="H21" i="184"/>
  <c r="H46" i="185" s="1"/>
  <c r="E64" i="184"/>
  <c r="H14" i="184" l="1"/>
  <c r="H39" i="185" s="1"/>
  <c r="D14" i="184"/>
  <c r="D39" i="185" s="1"/>
  <c r="D7" i="184" l="1"/>
  <c r="D32" i="185" l="1"/>
  <c r="F25" i="19" l="1"/>
  <c r="E25" i="19"/>
  <c r="D25" i="19"/>
  <c r="F24" i="19"/>
  <c r="E24" i="19"/>
  <c r="D24" i="19"/>
  <c r="E23" i="19"/>
  <c r="D23" i="19"/>
  <c r="F23" i="19"/>
  <c r="C23" i="19"/>
  <c r="C25" i="19"/>
  <c r="E167" i="184"/>
  <c r="E164" i="184"/>
  <c r="E158" i="184"/>
  <c r="E157" i="184"/>
  <c r="E151" i="184"/>
  <c r="E150" i="184"/>
  <c r="E141" i="184"/>
  <c r="E135" i="184"/>
  <c r="E161" i="184" s="1"/>
  <c r="E134" i="184"/>
  <c r="E160" i="184" s="1"/>
  <c r="E133" i="184"/>
  <c r="E159" i="184" s="1"/>
  <c r="E129" i="184"/>
  <c r="E120" i="184"/>
  <c r="C24" i="19"/>
  <c r="E104" i="182"/>
  <c r="C3" i="65"/>
  <c r="C5" i="65"/>
  <c r="D24" i="184" l="1"/>
  <c r="D49" i="185" s="1"/>
  <c r="D29" i="184"/>
  <c r="D54" i="185" s="1"/>
  <c r="D31" i="184"/>
  <c r="D56" i="185" s="1"/>
  <c r="H24" i="184"/>
  <c r="H49" i="185" s="1"/>
  <c r="H22" i="184"/>
  <c r="H47" i="185" s="1"/>
  <c r="D22" i="184"/>
  <c r="D47" i="185" s="1"/>
  <c r="H23" i="184"/>
  <c r="H48" i="185" s="1"/>
  <c r="D30" i="184"/>
  <c r="D55" i="185" s="1"/>
  <c r="E128" i="184"/>
  <c r="E127" i="184"/>
  <c r="E156" i="184" s="1"/>
  <c r="E126" i="184"/>
  <c r="E153" i="184" s="1"/>
  <c r="E125" i="184"/>
  <c r="E154" i="184" s="1"/>
  <c r="E75" i="182"/>
  <c r="E86" i="182" s="1"/>
  <c r="E74" i="182"/>
  <c r="E83" i="182" s="1"/>
  <c r="E84" i="182"/>
  <c r="F5" i="65"/>
  <c r="C4" i="65"/>
  <c r="D5" i="182" l="1"/>
  <c r="D5" i="185" s="1"/>
  <c r="D12" i="182"/>
  <c r="E8" i="65" s="1"/>
  <c r="D19" i="182"/>
  <c r="E6" i="65" s="1"/>
  <c r="D23" i="184"/>
  <c r="D48" i="185" s="1"/>
  <c r="E146" i="184"/>
  <c r="E144" i="184"/>
  <c r="E143" i="184"/>
  <c r="E9" i="65"/>
  <c r="D4" i="182"/>
  <c r="D4" i="185" s="1"/>
  <c r="C9" i="65"/>
  <c r="D11" i="182"/>
  <c r="C8" i="65"/>
  <c r="D18" i="182"/>
  <c r="D18" i="185" s="1"/>
  <c r="C6" i="65"/>
  <c r="D25" i="182" l="1"/>
  <c r="C7" i="65" s="1"/>
  <c r="D19" i="185"/>
  <c r="D12" i="185"/>
  <c r="F5" i="80"/>
  <c r="F7" i="80"/>
  <c r="F8" i="80"/>
  <c r="H8" i="80"/>
  <c r="H5" i="80"/>
  <c r="H7" i="80"/>
  <c r="E107" i="182"/>
  <c r="D41" i="182" s="1"/>
  <c r="D48" i="182" s="1"/>
  <c r="E101" i="182"/>
  <c r="E100" i="182"/>
  <c r="E99" i="182"/>
  <c r="E98" i="182"/>
  <c r="E97" i="182"/>
  <c r="E91" i="182"/>
  <c r="E90" i="182"/>
  <c r="D33" i="182" s="1"/>
  <c r="E69" i="182"/>
  <c r="O50" i="19"/>
  <c r="O51" i="19"/>
  <c r="O53" i="19"/>
  <c r="O54" i="19"/>
  <c r="O55" i="19"/>
  <c r="O57" i="19"/>
  <c r="O58" i="19"/>
  <c r="O59" i="19"/>
  <c r="O61" i="19"/>
  <c r="O62" i="19"/>
  <c r="O63" i="19"/>
  <c r="O65" i="19"/>
  <c r="O66" i="19"/>
  <c r="O67" i="19"/>
  <c r="O70" i="19"/>
  <c r="O71" i="19"/>
  <c r="O72" i="19"/>
  <c r="O74" i="19"/>
  <c r="O75" i="19"/>
  <c r="O76" i="19"/>
  <c r="O78" i="19"/>
  <c r="O79" i="19"/>
  <c r="O80" i="19"/>
  <c r="O82" i="19"/>
  <c r="O83" i="19"/>
  <c r="O84" i="19"/>
  <c r="O86" i="19"/>
  <c r="O87" i="19"/>
  <c r="O88" i="19"/>
  <c r="O90" i="19"/>
  <c r="O91" i="19"/>
  <c r="O92" i="19"/>
  <c r="O94" i="19"/>
  <c r="O95" i="19"/>
  <c r="O96" i="19"/>
  <c r="O98" i="19"/>
  <c r="O99" i="19"/>
  <c r="O100" i="19"/>
  <c r="O102" i="19"/>
  <c r="O103" i="19"/>
  <c r="O104" i="19"/>
  <c r="O106" i="19"/>
  <c r="O107" i="19"/>
  <c r="O108" i="19"/>
  <c r="O110" i="19"/>
  <c r="O111" i="19"/>
  <c r="O112" i="19"/>
  <c r="O114" i="19"/>
  <c r="O115" i="19"/>
  <c r="O116" i="19"/>
  <c r="O118" i="19"/>
  <c r="O119" i="19"/>
  <c r="O120" i="19"/>
  <c r="O122" i="19"/>
  <c r="O123" i="19"/>
  <c r="O124" i="19"/>
  <c r="O126" i="19"/>
  <c r="O127" i="19"/>
  <c r="O128" i="19"/>
  <c r="O131" i="19"/>
  <c r="O132" i="19"/>
  <c r="O133" i="19"/>
  <c r="O135" i="19"/>
  <c r="O136" i="19"/>
  <c r="O137" i="19"/>
  <c r="O139" i="19"/>
  <c r="O140" i="19"/>
  <c r="O141" i="19"/>
  <c r="O143" i="19"/>
  <c r="O144" i="19"/>
  <c r="O145" i="19"/>
  <c r="O147" i="19"/>
  <c r="O148" i="19"/>
  <c r="O149" i="19"/>
  <c r="O151" i="19"/>
  <c r="O152" i="19"/>
  <c r="O153" i="19"/>
  <c r="O49" i="19"/>
  <c r="N154" i="19"/>
  <c r="M154" i="19"/>
  <c r="L154" i="19"/>
  <c r="K154" i="19"/>
  <c r="J154" i="19"/>
  <c r="O154" i="19" s="1"/>
  <c r="N150" i="19"/>
  <c r="M150" i="19"/>
  <c r="L150" i="19"/>
  <c r="K150" i="19"/>
  <c r="J150" i="19"/>
  <c r="O150" i="19" s="1"/>
  <c r="N146" i="19"/>
  <c r="M146" i="19"/>
  <c r="L146" i="19"/>
  <c r="K146" i="19"/>
  <c r="J146" i="19"/>
  <c r="O146" i="19" s="1"/>
  <c r="N142" i="19"/>
  <c r="M142" i="19"/>
  <c r="L142" i="19"/>
  <c r="K142" i="19"/>
  <c r="J142" i="19"/>
  <c r="O142" i="19" s="1"/>
  <c r="N138" i="19"/>
  <c r="M138" i="19"/>
  <c r="L138" i="19"/>
  <c r="K138" i="19"/>
  <c r="J138" i="19"/>
  <c r="O138" i="19" s="1"/>
  <c r="N134" i="19"/>
  <c r="M134" i="19"/>
  <c r="L134" i="19"/>
  <c r="K134" i="19"/>
  <c r="J134" i="19"/>
  <c r="O134" i="19" s="1"/>
  <c r="N130" i="19"/>
  <c r="M130" i="19"/>
  <c r="L130" i="19"/>
  <c r="K130" i="19"/>
  <c r="J130" i="19"/>
  <c r="O130" i="19" s="1"/>
  <c r="N129" i="19"/>
  <c r="M129" i="19"/>
  <c r="L129" i="19"/>
  <c r="K129" i="19"/>
  <c r="J129" i="19"/>
  <c r="O129" i="19" s="1"/>
  <c r="N125" i="19"/>
  <c r="M125" i="19"/>
  <c r="L125" i="19"/>
  <c r="K125" i="19"/>
  <c r="J125" i="19"/>
  <c r="O125" i="19" s="1"/>
  <c r="N121" i="19"/>
  <c r="M121" i="19"/>
  <c r="L121" i="19"/>
  <c r="K121" i="19"/>
  <c r="J121" i="19"/>
  <c r="O121" i="19" s="1"/>
  <c r="N117" i="19"/>
  <c r="M117" i="19"/>
  <c r="L117" i="19"/>
  <c r="K117" i="19"/>
  <c r="J117" i="19"/>
  <c r="O117" i="19" s="1"/>
  <c r="N113" i="19"/>
  <c r="M113" i="19"/>
  <c r="L113" i="19"/>
  <c r="K113" i="19"/>
  <c r="J113" i="19"/>
  <c r="O113" i="19" s="1"/>
  <c r="N109" i="19"/>
  <c r="M109" i="19"/>
  <c r="L109" i="19"/>
  <c r="K109" i="19"/>
  <c r="J109" i="19"/>
  <c r="O109" i="19" s="1"/>
  <c r="N105" i="19"/>
  <c r="M105" i="19"/>
  <c r="L105" i="19"/>
  <c r="K105" i="19"/>
  <c r="J105" i="19"/>
  <c r="O105" i="19" s="1"/>
  <c r="N101" i="19"/>
  <c r="M101" i="19"/>
  <c r="L101" i="19"/>
  <c r="K101" i="19"/>
  <c r="J101" i="19"/>
  <c r="O101" i="19" s="1"/>
  <c r="N97" i="19"/>
  <c r="M97" i="19"/>
  <c r="L97" i="19"/>
  <c r="K97" i="19"/>
  <c r="J97" i="19"/>
  <c r="O97" i="19" s="1"/>
  <c r="N93" i="19"/>
  <c r="M93" i="19"/>
  <c r="L93" i="19"/>
  <c r="K93" i="19"/>
  <c r="J93" i="19"/>
  <c r="O93" i="19" s="1"/>
  <c r="N89" i="19"/>
  <c r="M89" i="19"/>
  <c r="L89" i="19"/>
  <c r="K89" i="19"/>
  <c r="J89" i="19"/>
  <c r="O89" i="19" s="1"/>
  <c r="N85" i="19"/>
  <c r="M85" i="19"/>
  <c r="L85" i="19"/>
  <c r="K85" i="19"/>
  <c r="J85" i="19"/>
  <c r="O85" i="19" s="1"/>
  <c r="N81" i="19"/>
  <c r="M81" i="19"/>
  <c r="L81" i="19"/>
  <c r="K81" i="19"/>
  <c r="J81" i="19"/>
  <c r="O81" i="19" s="1"/>
  <c r="N77" i="19"/>
  <c r="M77" i="19"/>
  <c r="L77" i="19"/>
  <c r="K77" i="19"/>
  <c r="J77" i="19"/>
  <c r="O77" i="19" s="1"/>
  <c r="N73" i="19"/>
  <c r="M73" i="19"/>
  <c r="L73" i="19"/>
  <c r="K73" i="19"/>
  <c r="J73" i="19"/>
  <c r="O73" i="19" s="1"/>
  <c r="N69" i="19"/>
  <c r="M69" i="19"/>
  <c r="L69" i="19"/>
  <c r="K69" i="19"/>
  <c r="J69" i="19"/>
  <c r="O69" i="19" s="1"/>
  <c r="N68" i="19"/>
  <c r="M68" i="19"/>
  <c r="L68" i="19"/>
  <c r="K68" i="19"/>
  <c r="J68" i="19"/>
  <c r="O68" i="19" s="1"/>
  <c r="N64" i="19"/>
  <c r="M64" i="19"/>
  <c r="L64" i="19"/>
  <c r="K64" i="19"/>
  <c r="J64" i="19"/>
  <c r="O64" i="19" s="1"/>
  <c r="N60" i="19"/>
  <c r="M60" i="19"/>
  <c r="L60" i="19"/>
  <c r="K60" i="19"/>
  <c r="J60" i="19"/>
  <c r="O60" i="19" s="1"/>
  <c r="N56" i="19"/>
  <c r="M56" i="19"/>
  <c r="L56" i="19"/>
  <c r="K56" i="19"/>
  <c r="J56" i="19"/>
  <c r="O56" i="19" s="1"/>
  <c r="N52" i="19"/>
  <c r="M52" i="19"/>
  <c r="L52" i="19"/>
  <c r="K52" i="19"/>
  <c r="J52" i="19"/>
  <c r="O52" i="19" s="1"/>
  <c r="I50" i="19"/>
  <c r="I51" i="19"/>
  <c r="I53" i="19"/>
  <c r="I54" i="19"/>
  <c r="I55" i="19"/>
  <c r="I57" i="19"/>
  <c r="I58" i="19"/>
  <c r="I59" i="19"/>
  <c r="I61" i="19"/>
  <c r="I62" i="19"/>
  <c r="I63" i="19"/>
  <c r="I65" i="19"/>
  <c r="I66" i="19"/>
  <c r="I67" i="19"/>
  <c r="I70" i="19"/>
  <c r="I71" i="19"/>
  <c r="I72" i="19"/>
  <c r="I74" i="19"/>
  <c r="I75" i="19"/>
  <c r="I76" i="19"/>
  <c r="I78" i="19"/>
  <c r="I79" i="19"/>
  <c r="I80" i="19"/>
  <c r="I82" i="19"/>
  <c r="I83" i="19"/>
  <c r="I84" i="19"/>
  <c r="I86" i="19"/>
  <c r="I87" i="19"/>
  <c r="I88" i="19"/>
  <c r="I90" i="19"/>
  <c r="I91" i="19"/>
  <c r="I92" i="19"/>
  <c r="I94" i="19"/>
  <c r="I95" i="19"/>
  <c r="I96" i="19"/>
  <c r="I98" i="19"/>
  <c r="I99" i="19"/>
  <c r="I100" i="19"/>
  <c r="I102" i="19"/>
  <c r="I103" i="19"/>
  <c r="I104" i="19"/>
  <c r="I106" i="19"/>
  <c r="I107" i="19"/>
  <c r="I108" i="19"/>
  <c r="I110" i="19"/>
  <c r="I111" i="19"/>
  <c r="I112" i="19"/>
  <c r="I114" i="19"/>
  <c r="I115" i="19"/>
  <c r="I116" i="19"/>
  <c r="I118" i="19"/>
  <c r="I119" i="19"/>
  <c r="I120" i="19"/>
  <c r="I122" i="19"/>
  <c r="I123" i="19"/>
  <c r="I124" i="19"/>
  <c r="I126" i="19"/>
  <c r="I127" i="19"/>
  <c r="I128" i="19"/>
  <c r="I131" i="19"/>
  <c r="I132" i="19"/>
  <c r="I133" i="19"/>
  <c r="I135" i="19"/>
  <c r="I136" i="19"/>
  <c r="I137" i="19"/>
  <c r="I139" i="19"/>
  <c r="I140" i="19"/>
  <c r="I141" i="19"/>
  <c r="I143" i="19"/>
  <c r="I144" i="19"/>
  <c r="I145" i="19"/>
  <c r="I147" i="19"/>
  <c r="I148" i="19"/>
  <c r="I149" i="19"/>
  <c r="I151" i="19"/>
  <c r="I152" i="19"/>
  <c r="I153" i="19"/>
  <c r="I49" i="19"/>
  <c r="H154" i="19"/>
  <c r="G154" i="19"/>
  <c r="F154" i="19"/>
  <c r="E154" i="19"/>
  <c r="D154" i="19"/>
  <c r="I154" i="19" s="1"/>
  <c r="H150" i="19"/>
  <c r="G150" i="19"/>
  <c r="F150" i="19"/>
  <c r="E150" i="19"/>
  <c r="D150" i="19"/>
  <c r="I150" i="19" s="1"/>
  <c r="H146" i="19"/>
  <c r="G146" i="19"/>
  <c r="F146" i="19"/>
  <c r="E146" i="19"/>
  <c r="D146" i="19"/>
  <c r="I146" i="19" s="1"/>
  <c r="H142" i="19"/>
  <c r="G142" i="19"/>
  <c r="F142" i="19"/>
  <c r="E142" i="19"/>
  <c r="D142" i="19"/>
  <c r="I142" i="19" s="1"/>
  <c r="H138" i="19"/>
  <c r="G138" i="19"/>
  <c r="F138" i="19"/>
  <c r="E138" i="19"/>
  <c r="D138" i="19"/>
  <c r="I138" i="19" s="1"/>
  <c r="H134" i="19"/>
  <c r="G134" i="19"/>
  <c r="F134" i="19"/>
  <c r="E134" i="19"/>
  <c r="D134" i="19"/>
  <c r="I134" i="19" s="1"/>
  <c r="H130" i="19"/>
  <c r="G130" i="19"/>
  <c r="F130" i="19"/>
  <c r="E130" i="19"/>
  <c r="D130" i="19"/>
  <c r="I130" i="19" s="1"/>
  <c r="H129" i="19"/>
  <c r="G129" i="19"/>
  <c r="F129" i="19"/>
  <c r="E129" i="19"/>
  <c r="D129" i="19"/>
  <c r="I129" i="19" s="1"/>
  <c r="H125" i="19"/>
  <c r="G125" i="19"/>
  <c r="F125" i="19"/>
  <c r="E125" i="19"/>
  <c r="D125" i="19"/>
  <c r="I125" i="19" s="1"/>
  <c r="H121" i="19"/>
  <c r="G121" i="19"/>
  <c r="F121" i="19"/>
  <c r="E121" i="19"/>
  <c r="D121" i="19"/>
  <c r="I121" i="19" s="1"/>
  <c r="H117" i="19"/>
  <c r="G117" i="19"/>
  <c r="F117" i="19"/>
  <c r="E117" i="19"/>
  <c r="D117" i="19"/>
  <c r="I117" i="19" s="1"/>
  <c r="H113" i="19"/>
  <c r="G113" i="19"/>
  <c r="F113" i="19"/>
  <c r="E113" i="19"/>
  <c r="D113" i="19"/>
  <c r="I113" i="19" s="1"/>
  <c r="H109" i="19"/>
  <c r="G109" i="19"/>
  <c r="F109" i="19"/>
  <c r="E109" i="19"/>
  <c r="D109" i="19"/>
  <c r="I109" i="19" s="1"/>
  <c r="H105" i="19"/>
  <c r="G105" i="19"/>
  <c r="F105" i="19"/>
  <c r="E105" i="19"/>
  <c r="D105" i="19"/>
  <c r="I105" i="19" s="1"/>
  <c r="H101" i="19"/>
  <c r="G101" i="19"/>
  <c r="F101" i="19"/>
  <c r="E101" i="19"/>
  <c r="D101" i="19"/>
  <c r="I101" i="19" s="1"/>
  <c r="H97" i="19"/>
  <c r="G97" i="19"/>
  <c r="F97" i="19"/>
  <c r="E97" i="19"/>
  <c r="D97" i="19"/>
  <c r="I97" i="19" s="1"/>
  <c r="H93" i="19"/>
  <c r="G93" i="19"/>
  <c r="F93" i="19"/>
  <c r="E93" i="19"/>
  <c r="D93" i="19"/>
  <c r="I93" i="19" s="1"/>
  <c r="H89" i="19"/>
  <c r="G89" i="19"/>
  <c r="F89" i="19"/>
  <c r="E89" i="19"/>
  <c r="D89" i="19"/>
  <c r="I89" i="19" s="1"/>
  <c r="H85" i="19"/>
  <c r="G85" i="19"/>
  <c r="F85" i="19"/>
  <c r="E85" i="19"/>
  <c r="D85" i="19"/>
  <c r="I85" i="19" s="1"/>
  <c r="H81" i="19"/>
  <c r="G81" i="19"/>
  <c r="F81" i="19"/>
  <c r="E81" i="19"/>
  <c r="D81" i="19"/>
  <c r="I81" i="19" s="1"/>
  <c r="H77" i="19"/>
  <c r="G77" i="19"/>
  <c r="F77" i="19"/>
  <c r="E77" i="19"/>
  <c r="D77" i="19"/>
  <c r="I77" i="19" s="1"/>
  <c r="H73" i="19"/>
  <c r="G73" i="19"/>
  <c r="F73" i="19"/>
  <c r="E73" i="19"/>
  <c r="D73" i="19"/>
  <c r="I73" i="19" s="1"/>
  <c r="G69" i="19"/>
  <c r="F69" i="19"/>
  <c r="E69" i="19"/>
  <c r="D69" i="19"/>
  <c r="I69" i="19" s="1"/>
  <c r="H68" i="19"/>
  <c r="G68" i="19"/>
  <c r="F68" i="19"/>
  <c r="E68" i="19"/>
  <c r="D68" i="19"/>
  <c r="I68" i="19" s="1"/>
  <c r="H64" i="19"/>
  <c r="G64" i="19"/>
  <c r="F64" i="19"/>
  <c r="E64" i="19"/>
  <c r="D64" i="19"/>
  <c r="I64" i="19" s="1"/>
  <c r="H60" i="19"/>
  <c r="G60" i="19"/>
  <c r="F60" i="19"/>
  <c r="E60" i="19"/>
  <c r="D60" i="19"/>
  <c r="I60" i="19" s="1"/>
  <c r="H56" i="19"/>
  <c r="G56" i="19"/>
  <c r="F56" i="19"/>
  <c r="E56" i="19"/>
  <c r="D56" i="19"/>
  <c r="I56" i="19" s="1"/>
  <c r="H52" i="19"/>
  <c r="G52" i="19"/>
  <c r="F52" i="19"/>
  <c r="E52" i="19"/>
  <c r="D52" i="19"/>
  <c r="I52" i="19" s="1"/>
  <c r="Q53" i="97"/>
  <c r="C31" i="97" s="1"/>
  <c r="R53" i="97"/>
  <c r="D31" i="97" s="1"/>
  <c r="S53" i="97"/>
  <c r="E31" i="97" s="1"/>
  <c r="P53" i="97"/>
  <c r="B31" i="97" s="1"/>
  <c r="S52" i="97"/>
  <c r="E30" i="97" s="1"/>
  <c r="Q52" i="97"/>
  <c r="C30" i="97" s="1"/>
  <c r="R52" i="97"/>
  <c r="D30" i="97" s="1"/>
  <c r="P52" i="97"/>
  <c r="B30" i="97" s="1"/>
  <c r="O53" i="97"/>
  <c r="O52" i="97"/>
  <c r="N43" i="97"/>
  <c r="N42" i="97"/>
  <c r="K30" i="97" s="1"/>
  <c r="M43" i="97"/>
  <c r="M42" i="97"/>
  <c r="I30" i="97" s="1"/>
  <c r="I31" i="97" l="1"/>
  <c r="D42" i="182"/>
  <c r="G4" i="65" s="1"/>
  <c r="D40" i="182"/>
  <c r="D35" i="182"/>
  <c r="D25" i="185"/>
  <c r="E93" i="182"/>
  <c r="H93" i="182"/>
  <c r="E96" i="182"/>
  <c r="D21" i="182" s="1"/>
  <c r="E94" i="182"/>
  <c r="J31" i="97"/>
  <c r="M31" i="97"/>
  <c r="L30" i="97"/>
  <c r="K31" i="97"/>
  <c r="L31" i="97"/>
  <c r="M30" i="97"/>
  <c r="O30" i="97" s="1"/>
  <c r="F30" i="97"/>
  <c r="G30" i="97"/>
  <c r="G31" i="97"/>
  <c r="F31" i="97"/>
  <c r="H30" i="97"/>
  <c r="H31" i="97"/>
  <c r="J30" i="97"/>
  <c r="E5" i="65"/>
  <c r="D6" i="182"/>
  <c r="D6" i="185" s="1"/>
  <c r="D13" i="182"/>
  <c r="D13" i="185" s="1"/>
  <c r="D20" i="182"/>
  <c r="F6" i="65" s="1"/>
  <c r="F4" i="65"/>
  <c r="F3" i="65"/>
  <c r="D26" i="182"/>
  <c r="S15" i="80"/>
  <c r="X30" i="153"/>
  <c r="V30" i="153"/>
  <c r="X29" i="153"/>
  <c r="V29" i="153"/>
  <c r="I59" i="160"/>
  <c r="I63" i="160"/>
  <c r="S16" i="80"/>
  <c r="Q16" i="80"/>
  <c r="Q15" i="80"/>
  <c r="T16" i="97"/>
  <c r="R16" i="97"/>
  <c r="T15" i="97"/>
  <c r="U16" i="97"/>
  <c r="S16" i="97"/>
  <c r="G21" i="97"/>
  <c r="U15" i="97"/>
  <c r="S15" i="97"/>
  <c r="G30" i="153"/>
  <c r="L30" i="153"/>
  <c r="L29" i="153"/>
  <c r="H80" i="160"/>
  <c r="T16" i="80"/>
  <c r="R16" i="80"/>
  <c r="T15" i="80"/>
  <c r="R15" i="80"/>
  <c r="G22" i="97"/>
  <c r="O16" i="72"/>
  <c r="O31" i="97" l="1"/>
  <c r="D49" i="182"/>
  <c r="G3" i="65" s="1"/>
  <c r="D43" i="182"/>
  <c r="D44" i="182" s="1"/>
  <c r="D47" i="182"/>
  <c r="G5" i="65"/>
  <c r="E4" i="65"/>
  <c r="D36" i="182"/>
  <c r="D37" i="182" s="1"/>
  <c r="D50" i="182"/>
  <c r="D51" i="182" s="1"/>
  <c r="G6" i="65"/>
  <c r="D21" i="185"/>
  <c r="D27" i="182"/>
  <c r="F9" i="65"/>
  <c r="F21" i="97"/>
  <c r="F22" i="97"/>
  <c r="D20" i="185"/>
  <c r="D22" i="182"/>
  <c r="D22" i="185" s="1"/>
  <c r="F8" i="65"/>
  <c r="I7" i="80" s="1"/>
  <c r="I5" i="80"/>
  <c r="D7" i="182"/>
  <c r="D14" i="182"/>
  <c r="F7" i="65"/>
  <c r="D27" i="185"/>
  <c r="E7" i="65"/>
  <c r="D26" i="185"/>
  <c r="G29" i="153"/>
  <c r="K29" i="153"/>
  <c r="M29" i="153"/>
  <c r="R29" i="153" s="1"/>
  <c r="T29" i="153" s="1"/>
  <c r="E29" i="153"/>
  <c r="I30" i="153"/>
  <c r="E30" i="153"/>
  <c r="M30" i="153"/>
  <c r="E3" i="65"/>
  <c r="D4" i="65"/>
  <c r="C29" i="153"/>
  <c r="K30" i="153"/>
  <c r="E62" i="184" s="1"/>
  <c r="C30" i="153"/>
  <c r="I29" i="153"/>
  <c r="E57" i="184"/>
  <c r="H7" i="184" s="1"/>
  <c r="H32" i="185" s="1"/>
  <c r="I8" i="80" l="1"/>
  <c r="D5" i="65"/>
  <c r="J5" i="80"/>
  <c r="D6" i="65"/>
  <c r="D23" i="182"/>
  <c r="D23" i="185" s="1"/>
  <c r="R30" i="153"/>
  <c r="H29" i="184"/>
  <c r="H54" i="185" s="1"/>
  <c r="H30" i="184"/>
  <c r="H55" i="185" s="1"/>
  <c r="H31" i="184"/>
  <c r="H56" i="185" s="1"/>
  <c r="E72" i="184"/>
  <c r="H32" i="184"/>
  <c r="D18" i="184"/>
  <c r="D43" i="185" s="1"/>
  <c r="P29" i="153"/>
  <c r="D16" i="184" s="1"/>
  <c r="D41" i="185" s="1"/>
  <c r="O29" i="153"/>
  <c r="D15" i="184" s="1"/>
  <c r="D40" i="185" s="1"/>
  <c r="Q29" i="153"/>
  <c r="D17" i="184" s="1"/>
  <c r="D42" i="185" s="1"/>
  <c r="E61" i="184"/>
  <c r="O30" i="153"/>
  <c r="H15" i="184" s="1"/>
  <c r="H40" i="185" s="1"/>
  <c r="Q30" i="153"/>
  <c r="H17" i="184" s="1"/>
  <c r="H42" i="185" s="1"/>
  <c r="P30" i="153"/>
  <c r="H16" i="184" s="1"/>
  <c r="H41" i="185" s="1"/>
  <c r="G8" i="65"/>
  <c r="D14" i="185"/>
  <c r="D15" i="182"/>
  <c r="G9" i="65"/>
  <c r="D7" i="185"/>
  <c r="D8" i="182"/>
  <c r="D28" i="182"/>
  <c r="G5" i="80"/>
  <c r="I6" i="65"/>
  <c r="D3" i="65"/>
  <c r="I3" i="65" s="1"/>
  <c r="D19" i="184" l="1"/>
  <c r="D44" i="185" s="1"/>
  <c r="H57" i="185"/>
  <c r="H33" i="184"/>
  <c r="H58" i="185" s="1"/>
  <c r="H10" i="184"/>
  <c r="H35" i="185" s="1"/>
  <c r="H9" i="184"/>
  <c r="H34" i="185" s="1"/>
  <c r="H8" i="184"/>
  <c r="H33" i="185" s="1"/>
  <c r="G7" i="65"/>
  <c r="D28" i="185"/>
  <c r="D29" i="182"/>
  <c r="D9" i="182"/>
  <c r="D9" i="185" s="1"/>
  <c r="D9" i="65"/>
  <c r="D8" i="185"/>
  <c r="J8" i="80"/>
  <c r="D15" i="185"/>
  <c r="D16" i="182"/>
  <c r="D16" i="185" s="1"/>
  <c r="D8" i="65"/>
  <c r="J7" i="80"/>
  <c r="L5" i="80"/>
  <c r="D35" i="184"/>
  <c r="D60" i="185"/>
  <c r="E56" i="184"/>
  <c r="F15" i="170"/>
  <c r="B22" i="170"/>
  <c r="B21" i="169"/>
  <c r="H21" i="169"/>
  <c r="D10" i="184" l="1"/>
  <c r="D35" i="185" s="1"/>
  <c r="D9" i="184"/>
  <c r="D34" i="185" s="1"/>
  <c r="D8" i="184"/>
  <c r="D33" i="185" s="1"/>
  <c r="G7" i="80"/>
  <c r="G8" i="80"/>
  <c r="I9" i="65"/>
  <c r="D29" i="185"/>
  <c r="D30" i="182"/>
  <c r="D7" i="65"/>
  <c r="D11" i="184"/>
  <c r="D36" i="185" s="1"/>
  <c r="E77" i="184"/>
  <c r="E108" i="160"/>
  <c r="L21" i="80"/>
  <c r="B21" i="170"/>
  <c r="C21" i="170" s="1"/>
  <c r="D53" i="182" l="1"/>
  <c r="D30" i="185"/>
  <c r="L8" i="80"/>
  <c r="E76" i="184"/>
  <c r="D38" i="184"/>
  <c r="D63" i="185" s="1"/>
  <c r="D37" i="184"/>
  <c r="D62" i="185" s="1"/>
  <c r="D36" i="184"/>
  <c r="D61" i="185" s="1"/>
  <c r="H35" i="184"/>
  <c r="H60" i="185"/>
  <c r="D12" i="184"/>
  <c r="D37" i="185" s="1"/>
  <c r="G22" i="165"/>
  <c r="G21" i="165"/>
  <c r="D39" i="184" l="1"/>
  <c r="D64" i="185" s="1"/>
  <c r="O100" i="160"/>
  <c r="O101" i="160"/>
  <c r="O30" i="160"/>
  <c r="O31" i="160"/>
  <c r="O32" i="160"/>
  <c r="O33" i="160"/>
  <c r="O26" i="160"/>
  <c r="O27" i="160"/>
  <c r="O28" i="160"/>
  <c r="O29" i="160"/>
  <c r="I37" i="153"/>
  <c r="T31" i="153"/>
  <c r="D22" i="169"/>
  <c r="D21" i="169"/>
  <c r="M32" i="153"/>
  <c r="I32" i="153"/>
  <c r="W18" i="159"/>
  <c r="T18" i="159"/>
  <c r="R18" i="159"/>
  <c r="P18" i="159"/>
  <c r="E16" i="159"/>
  <c r="E15" i="159"/>
  <c r="G16" i="80"/>
  <c r="G15" i="80"/>
  <c r="K16" i="97"/>
  <c r="L16" i="97" s="1"/>
  <c r="K15" i="97"/>
  <c r="L15" i="97" s="1"/>
  <c r="C16" i="72"/>
  <c r="D16" i="72" s="1"/>
  <c r="C15" i="72"/>
  <c r="D15" i="72" s="1"/>
  <c r="O124" i="160"/>
  <c r="O102" i="160"/>
  <c r="O80" i="160"/>
  <c r="O90" i="160"/>
  <c r="O83" i="160"/>
  <c r="E48" i="19"/>
  <c r="G48" i="19"/>
  <c r="H48" i="19"/>
  <c r="Q18" i="97"/>
  <c r="X31" i="97" s="1"/>
  <c r="P18" i="97"/>
  <c r="V30" i="97" s="1"/>
  <c r="V36" i="97" s="1"/>
  <c r="O18" i="97"/>
  <c r="T30" i="97" s="1"/>
  <c r="T36" i="97" s="1"/>
  <c r="J18" i="72"/>
  <c r="X32" i="153"/>
  <c r="M18" i="80"/>
  <c r="U31" i="97"/>
  <c r="U37" i="97" s="1"/>
  <c r="U30" i="97"/>
  <c r="U36" i="97" s="1"/>
  <c r="S31" i="97"/>
  <c r="S37" i="97" s="1"/>
  <c r="S30" i="97"/>
  <c r="S36" i="97" s="1"/>
  <c r="G37" i="97" l="1"/>
  <c r="X37" i="97"/>
  <c r="R64" i="97"/>
  <c r="S64" i="97" s="1"/>
  <c r="T64" i="97" s="1"/>
  <c r="U64" i="97" s="1"/>
  <c r="H15" i="80"/>
  <c r="I15" i="80"/>
  <c r="H16" i="80"/>
  <c r="J16" i="80" s="1"/>
  <c r="N16" i="80" s="1"/>
  <c r="I16" i="80"/>
  <c r="D40" i="184"/>
  <c r="D65" i="185" s="1"/>
  <c r="M15" i="97"/>
  <c r="N15" i="97" s="1"/>
  <c r="X15" i="97" s="1"/>
  <c r="H38" i="184"/>
  <c r="H63" i="185" s="1"/>
  <c r="H36" i="184"/>
  <c r="H61" i="185" s="1"/>
  <c r="H37" i="184"/>
  <c r="H62" i="185" s="1"/>
  <c r="H37" i="153"/>
  <c r="F48" i="19"/>
  <c r="D48" i="19"/>
  <c r="V31" i="97"/>
  <c r="V37" i="97" s="1"/>
  <c r="J37" i="153"/>
  <c r="K37" i="153" s="1"/>
  <c r="T31" i="97"/>
  <c r="T37" i="97" s="1"/>
  <c r="X30" i="97"/>
  <c r="H155" i="19"/>
  <c r="G155" i="19"/>
  <c r="F155" i="19"/>
  <c r="E155" i="19"/>
  <c r="D155" i="19"/>
  <c r="I155" i="19" s="1"/>
  <c r="G36" i="97" l="1"/>
  <c r="X36" i="97"/>
  <c r="R63" i="97"/>
  <c r="S63" i="97" s="1"/>
  <c r="T63" i="97" s="1"/>
  <c r="U63" i="97" s="1"/>
  <c r="J15" i="80"/>
  <c r="L37" i="153"/>
  <c r="M37" i="153"/>
  <c r="H4" i="65" l="1"/>
  <c r="H5" i="65"/>
  <c r="H6" i="65"/>
  <c r="H7" i="65"/>
  <c r="H8" i="65"/>
  <c r="H9" i="65"/>
  <c r="H3" i="65"/>
  <c r="O18" i="80"/>
  <c r="L120" i="160"/>
  <c r="L113" i="160"/>
  <c r="M113" i="160"/>
  <c r="L106" i="160"/>
  <c r="M106" i="160"/>
  <c r="F18" i="165"/>
  <c r="D18" i="165"/>
  <c r="V18" i="97"/>
  <c r="H180" i="19"/>
  <c r="E18" i="72"/>
  <c r="G15" i="72"/>
  <c r="F18" i="72"/>
  <c r="E16" i="170"/>
  <c r="F16" i="170" s="1"/>
  <c r="B22" i="169"/>
  <c r="C22" i="169" s="1"/>
  <c r="E21" i="169"/>
  <c r="F22" i="170"/>
  <c r="H22" i="170" s="1"/>
  <c r="F21" i="170"/>
  <c r="P180" i="19"/>
  <c r="O180" i="19"/>
  <c r="L180" i="19"/>
  <c r="K180" i="19"/>
  <c r="G180" i="19"/>
  <c r="F180" i="19"/>
  <c r="E180" i="19"/>
  <c r="D183" i="19"/>
  <c r="F183" i="19"/>
  <c r="I183" i="19" s="1"/>
  <c r="O184" i="19" s="1"/>
  <c r="G183" i="19"/>
  <c r="J180" i="19"/>
  <c r="N180" i="19"/>
  <c r="I22" i="170"/>
  <c r="I21" i="170"/>
  <c r="L21" i="170" s="1"/>
  <c r="G22" i="170"/>
  <c r="G21" i="170"/>
  <c r="E21" i="170"/>
  <c r="E22" i="170"/>
  <c r="L22" i="170"/>
  <c r="C22" i="170"/>
  <c r="J22" i="170" s="1"/>
  <c r="K22" i="170" s="1"/>
  <c r="E15" i="170"/>
  <c r="C21" i="169"/>
  <c r="H22" i="169"/>
  <c r="E22" i="169"/>
  <c r="F22" i="169" s="1"/>
  <c r="G21" i="169"/>
  <c r="I21" i="169" s="1"/>
  <c r="G22" i="169"/>
  <c r="I22" i="169" s="1"/>
  <c r="K183" i="19" l="1"/>
  <c r="P184" i="19"/>
  <c r="P186" i="19" s="1"/>
  <c r="H21" i="170"/>
  <c r="W31" i="97"/>
  <c r="W30" i="97"/>
  <c r="F16" i="165"/>
  <c r="F15" i="165"/>
  <c r="J21" i="170"/>
  <c r="K21" i="170" s="1"/>
  <c r="D16" i="165"/>
  <c r="F22" i="165" s="1"/>
  <c r="D15" i="165"/>
  <c r="F21" i="165" s="1"/>
  <c r="H21" i="165" s="1"/>
  <c r="H39" i="184"/>
  <c r="H64" i="185" s="1"/>
  <c r="H25" i="184"/>
  <c r="H50" i="185" s="1"/>
  <c r="H18" i="184"/>
  <c r="H43" i="185" s="1"/>
  <c r="H11" i="184"/>
  <c r="H36" i="185" s="1"/>
  <c r="Q31" i="97"/>
  <c r="Q30" i="97"/>
  <c r="K36" i="97" s="1"/>
  <c r="D25" i="184"/>
  <c r="D50" i="185" s="1"/>
  <c r="H18" i="165"/>
  <c r="L18" i="165"/>
  <c r="O186" i="19"/>
  <c r="J22" i="169"/>
  <c r="M22" i="170"/>
  <c r="F21" i="169"/>
  <c r="J21" i="169" s="1"/>
  <c r="F2" i="72"/>
  <c r="G2" i="72"/>
  <c r="H2" i="72"/>
  <c r="I2" i="72"/>
  <c r="J2" i="72"/>
  <c r="K2" i="72"/>
  <c r="L2" i="72"/>
  <c r="F3" i="72"/>
  <c r="G3" i="72"/>
  <c r="H3" i="72"/>
  <c r="I3" i="72"/>
  <c r="J3" i="72"/>
  <c r="K3" i="72"/>
  <c r="L3" i="72"/>
  <c r="F4" i="72"/>
  <c r="G4" i="72"/>
  <c r="H4" i="72"/>
  <c r="I4" i="72"/>
  <c r="J4" i="72"/>
  <c r="K4" i="72"/>
  <c r="L4" i="72"/>
  <c r="F5" i="72"/>
  <c r="G5" i="72"/>
  <c r="H5" i="72"/>
  <c r="I5" i="72"/>
  <c r="J5" i="72"/>
  <c r="K5" i="72"/>
  <c r="L5" i="72"/>
  <c r="F6" i="72"/>
  <c r="G6" i="72"/>
  <c r="H6" i="72"/>
  <c r="I6" i="72"/>
  <c r="J6" i="72"/>
  <c r="K6" i="72"/>
  <c r="L6" i="72"/>
  <c r="H7" i="72"/>
  <c r="I7" i="72"/>
  <c r="J7" i="72"/>
  <c r="K7" i="72"/>
  <c r="H8" i="72"/>
  <c r="I8" i="72"/>
  <c r="J8" i="72"/>
  <c r="K8" i="72"/>
  <c r="G16" i="72"/>
  <c r="K16" i="72" s="1"/>
  <c r="C21" i="165"/>
  <c r="B21" i="165"/>
  <c r="I22" i="165"/>
  <c r="K22" i="165" s="1"/>
  <c r="I21" i="165"/>
  <c r="K21" i="165" s="1"/>
  <c r="D21" i="165"/>
  <c r="E21" i="165" s="1"/>
  <c r="J21" i="165" s="1"/>
  <c r="B22" i="165"/>
  <c r="C22" i="165"/>
  <c r="D22" i="165"/>
  <c r="I102" i="160"/>
  <c r="F15" i="159"/>
  <c r="I150" i="160"/>
  <c r="I128" i="160"/>
  <c r="I130" i="160" s="1"/>
  <c r="I131" i="160" s="1"/>
  <c r="I113" i="160"/>
  <c r="M16" i="97"/>
  <c r="I31" i="160"/>
  <c r="D30" i="160"/>
  <c r="F37" i="97" l="1"/>
  <c r="W37" i="97"/>
  <c r="R61" i="97"/>
  <c r="S61" i="97" s="1"/>
  <c r="T61" i="97" s="1"/>
  <c r="U61" i="97" s="1"/>
  <c r="F36" i="97"/>
  <c r="W36" i="97"/>
  <c r="R60" i="97"/>
  <c r="S60" i="97" s="1"/>
  <c r="T60" i="97" s="1"/>
  <c r="U60" i="97" s="1"/>
  <c r="H19" i="184"/>
  <c r="H44" i="185" s="1"/>
  <c r="H26" i="184"/>
  <c r="H51" i="185" s="1"/>
  <c r="D26" i="184"/>
  <c r="D51" i="185" s="1"/>
  <c r="H40" i="184"/>
  <c r="H65" i="185" s="1"/>
  <c r="D32" i="184"/>
  <c r="D57" i="185" s="1"/>
  <c r="H12" i="184"/>
  <c r="H37" i="185" s="1"/>
  <c r="M21" i="170"/>
  <c r="H16" i="165"/>
  <c r="H15" i="165"/>
  <c r="I90" i="160"/>
  <c r="I89" i="160"/>
  <c r="I88" i="160"/>
  <c r="I61" i="160"/>
  <c r="I60" i="160"/>
  <c r="I66" i="160"/>
  <c r="N48" i="19"/>
  <c r="N155" i="19" s="1"/>
  <c r="M48" i="19"/>
  <c r="M155" i="19" s="1"/>
  <c r="L48" i="19"/>
  <c r="L155" i="19" s="1"/>
  <c r="K48" i="19"/>
  <c r="K155" i="19" s="1"/>
  <c r="J48" i="19"/>
  <c r="J155" i="19" s="1"/>
  <c r="O155" i="19" s="1"/>
  <c r="H22" i="165"/>
  <c r="E22" i="165"/>
  <c r="J22" i="165" s="1"/>
  <c r="N16" i="97"/>
  <c r="D33" i="184" l="1"/>
  <c r="D58" i="185" s="1"/>
  <c r="O48" i="19"/>
  <c r="I51" i="160"/>
  <c r="I52" i="160"/>
  <c r="I45" i="160" s="1"/>
  <c r="I38" i="160" s="1"/>
  <c r="I67" i="160"/>
  <c r="I53" i="160"/>
  <c r="I46" i="160" s="1"/>
  <c r="I39" i="160" s="1"/>
  <c r="I68" i="160"/>
  <c r="L22" i="165"/>
  <c r="I48" i="19"/>
  <c r="I69" i="160" l="1"/>
  <c r="I44" i="160"/>
  <c r="I49" i="160" s="1"/>
  <c r="I50" i="160" s="1"/>
  <c r="I54" i="160"/>
  <c r="I37" i="160" l="1"/>
  <c r="I40" i="160" s="1"/>
  <c r="I47" i="160"/>
  <c r="T30" i="153"/>
  <c r="J36" i="153" s="1"/>
  <c r="J35" i="153" l="1"/>
  <c r="I22" i="159"/>
  <c r="L22" i="159" s="1"/>
  <c r="G22" i="159"/>
  <c r="F22" i="159"/>
  <c r="H22" i="159" s="1"/>
  <c r="I21" i="159"/>
  <c r="L21" i="159" s="1"/>
  <c r="G21" i="159"/>
  <c r="F21" i="159"/>
  <c r="F16" i="159"/>
  <c r="D16" i="159"/>
  <c r="G16" i="159" s="1"/>
  <c r="D15" i="159"/>
  <c r="G15" i="159" s="1"/>
  <c r="H15" i="159" s="1"/>
  <c r="E21" i="159"/>
  <c r="E22" i="159"/>
  <c r="I22" i="80"/>
  <c r="L22" i="80" s="1"/>
  <c r="I21" i="80"/>
  <c r="H21" i="80"/>
  <c r="E21" i="80"/>
  <c r="E22" i="80"/>
  <c r="K35" i="153" l="1"/>
  <c r="H22" i="80"/>
  <c r="H21" i="159"/>
  <c r="H16" i="159"/>
  <c r="J16" i="159" s="1"/>
  <c r="P15" i="80"/>
  <c r="B21" i="80" s="1"/>
  <c r="L16" i="80" l="1"/>
  <c r="P16" i="80"/>
  <c r="B22" i="80" s="1"/>
  <c r="C22" i="80" s="1"/>
  <c r="J22" i="80" s="1"/>
  <c r="K22" i="80" s="1"/>
  <c r="L16" i="159"/>
  <c r="N16" i="159"/>
  <c r="L15" i="80"/>
  <c r="N15" i="80"/>
  <c r="N15" i="159"/>
  <c r="L15" i="159"/>
  <c r="J15" i="159"/>
  <c r="C21" i="80" l="1"/>
  <c r="J21" i="80" s="1"/>
  <c r="K21" i="80" s="1"/>
  <c r="B22" i="159"/>
  <c r="C22" i="159" s="1"/>
  <c r="J22" i="159" s="1"/>
  <c r="K22" i="159" s="1"/>
  <c r="M22" i="159" s="1"/>
  <c r="B21" i="159"/>
  <c r="C21" i="159" s="1"/>
  <c r="J21" i="159" s="1"/>
  <c r="K21" i="159" s="1"/>
  <c r="M21" i="159" s="1"/>
  <c r="M21" i="80"/>
  <c r="M22" i="80"/>
  <c r="H18" i="72" l="1"/>
  <c r="K7" i="156"/>
  <c r="E30" i="160"/>
  <c r="F30" i="160"/>
  <c r="G30" i="160"/>
  <c r="H30" i="160"/>
  <c r="I30" i="160"/>
  <c r="J30" i="160"/>
  <c r="K30" i="160"/>
  <c r="L30" i="160"/>
  <c r="M30" i="160"/>
  <c r="N30" i="160"/>
  <c r="D31" i="160"/>
  <c r="E31" i="160"/>
  <c r="F31" i="160"/>
  <c r="G31" i="160"/>
  <c r="H31" i="160"/>
  <c r="J31" i="160"/>
  <c r="K31" i="160"/>
  <c r="L31" i="160"/>
  <c r="M31" i="160"/>
  <c r="N31" i="160"/>
  <c r="D32" i="160"/>
  <c r="E32" i="160"/>
  <c r="F32" i="160"/>
  <c r="G32" i="160"/>
  <c r="H32" i="160"/>
  <c r="I32" i="160"/>
  <c r="J32" i="160"/>
  <c r="K32" i="160"/>
  <c r="L32" i="160"/>
  <c r="M32" i="160"/>
  <c r="N32" i="160"/>
  <c r="D33" i="160"/>
  <c r="E33" i="160"/>
  <c r="F33" i="160"/>
  <c r="G33" i="160"/>
  <c r="D34" i="160"/>
  <c r="E34" i="160"/>
  <c r="F34" i="160"/>
  <c r="G34" i="160"/>
  <c r="H34" i="160"/>
  <c r="I34" i="160"/>
  <c r="J34" i="160"/>
  <c r="K34" i="160"/>
  <c r="L34" i="160"/>
  <c r="M34" i="160"/>
  <c r="N34" i="160"/>
  <c r="D36" i="160"/>
  <c r="E36" i="160"/>
  <c r="F36" i="160"/>
  <c r="G36" i="160"/>
  <c r="H36" i="160"/>
  <c r="K36" i="160"/>
  <c r="L36" i="160"/>
  <c r="M36" i="160"/>
  <c r="N36" i="160"/>
  <c r="J37" i="160"/>
  <c r="J38" i="160"/>
  <c r="J44" i="160"/>
  <c r="J45" i="160"/>
  <c r="J51" i="160"/>
  <c r="J52" i="160"/>
  <c r="D58" i="160"/>
  <c r="E58" i="160"/>
  <c r="F58" i="160"/>
  <c r="G58" i="160"/>
  <c r="H58" i="160"/>
  <c r="I58" i="160"/>
  <c r="K58" i="160"/>
  <c r="L58" i="160"/>
  <c r="M58" i="160"/>
  <c r="N58" i="160"/>
  <c r="J59" i="160"/>
  <c r="J60" i="160"/>
  <c r="J61" i="160"/>
  <c r="J62" i="160"/>
  <c r="J66" i="160"/>
  <c r="J67" i="160"/>
  <c r="J73" i="160"/>
  <c r="J74" i="160"/>
  <c r="D80" i="160"/>
  <c r="E80" i="160"/>
  <c r="F80" i="160"/>
  <c r="G80" i="160"/>
  <c r="I80" i="160"/>
  <c r="J80" i="160"/>
  <c r="K80" i="160"/>
  <c r="L80" i="160"/>
  <c r="M80" i="160"/>
  <c r="N80" i="160"/>
  <c r="J81" i="160"/>
  <c r="J82" i="160"/>
  <c r="J88" i="160"/>
  <c r="J89" i="160"/>
  <c r="J95" i="160"/>
  <c r="J96" i="160"/>
  <c r="D102" i="160"/>
  <c r="E102" i="160"/>
  <c r="F102" i="160"/>
  <c r="G102" i="160"/>
  <c r="H102" i="160"/>
  <c r="K102" i="160"/>
  <c r="L102" i="160"/>
  <c r="M102" i="160"/>
  <c r="N102" i="160"/>
  <c r="J103" i="160"/>
  <c r="J104" i="160"/>
  <c r="J110" i="160"/>
  <c r="J111" i="160"/>
  <c r="J117" i="160"/>
  <c r="J118" i="160"/>
  <c r="D124" i="160"/>
  <c r="E124" i="160"/>
  <c r="F124" i="160"/>
  <c r="G124" i="160"/>
  <c r="H124" i="160"/>
  <c r="I124" i="160"/>
  <c r="J124" i="160"/>
  <c r="K124" i="160"/>
  <c r="L124" i="160"/>
  <c r="M124" i="160"/>
  <c r="N124" i="160"/>
  <c r="H128" i="160"/>
  <c r="H33" i="160" s="1"/>
  <c r="H29" i="160" s="1"/>
  <c r="I33" i="160"/>
  <c r="J128" i="160"/>
  <c r="K128" i="160"/>
  <c r="L128" i="160"/>
  <c r="M128" i="160"/>
  <c r="N128" i="160"/>
  <c r="H130" i="160"/>
  <c r="H131" i="160"/>
  <c r="H135" i="160"/>
  <c r="I135" i="160"/>
  <c r="J135" i="160"/>
  <c r="J33" i="160" s="1"/>
  <c r="K135" i="160"/>
  <c r="L135" i="160"/>
  <c r="M135" i="160"/>
  <c r="N135" i="160"/>
  <c r="H137" i="160"/>
  <c r="H138" i="160" s="1"/>
  <c r="H142" i="160"/>
  <c r="I142" i="160"/>
  <c r="K142" i="160"/>
  <c r="L142" i="160"/>
  <c r="M142" i="160"/>
  <c r="N142" i="160"/>
  <c r="H144" i="160"/>
  <c r="H145" i="160" s="1"/>
  <c r="K150" i="160"/>
  <c r="K33" i="160" s="1"/>
  <c r="K29" i="160" s="1"/>
  <c r="L150" i="160"/>
  <c r="L33" i="160" s="1"/>
  <c r="L29" i="160" s="1"/>
  <c r="M150" i="160"/>
  <c r="M33" i="160" s="1"/>
  <c r="M29" i="160" s="1"/>
  <c r="N150" i="160"/>
  <c r="N33" i="160" s="1"/>
  <c r="A4" i="160"/>
  <c r="A3" i="160" s="1"/>
  <c r="J6" i="160"/>
  <c r="M6" i="160"/>
  <c r="J7" i="160"/>
  <c r="M7" i="160"/>
  <c r="O25" i="160" s="1"/>
  <c r="I37" i="97"/>
  <c r="J37" i="97" s="1"/>
  <c r="I36" i="97"/>
  <c r="J36" i="97" s="1"/>
  <c r="C37" i="97"/>
  <c r="C36" i="97"/>
  <c r="I22" i="97"/>
  <c r="I21" i="97"/>
  <c r="O93" i="160" l="1"/>
  <c r="O94" i="160" s="1"/>
  <c r="O86" i="160"/>
  <c r="O87" i="160" s="1"/>
  <c r="O108" i="160"/>
  <c r="O109" i="160" s="1"/>
  <c r="O130" i="160"/>
  <c r="O131" i="160" s="1"/>
  <c r="O115" i="160"/>
  <c r="O116" i="160" s="1"/>
  <c r="N130" i="160"/>
  <c r="N29" i="160"/>
  <c r="N84" i="160" s="1"/>
  <c r="H21" i="97"/>
  <c r="O122" i="160"/>
  <c r="O123" i="160" s="1"/>
  <c r="O20" i="160" s="1"/>
  <c r="D29" i="160"/>
  <c r="D91" i="160" s="1"/>
  <c r="H36" i="97"/>
  <c r="H37" i="97"/>
  <c r="O35" i="19"/>
  <c r="O39" i="19"/>
  <c r="O38" i="19"/>
  <c r="O37" i="19"/>
  <c r="O36" i="19"/>
  <c r="J115" i="160"/>
  <c r="H22" i="97"/>
  <c r="I29" i="160"/>
  <c r="J42" i="160"/>
  <c r="J43" i="160" s="1"/>
  <c r="J49" i="160"/>
  <c r="J50" i="160" s="1"/>
  <c r="J56" i="160"/>
  <c r="J57" i="160" s="1"/>
  <c r="J64" i="160"/>
  <c r="J65" i="160" s="1"/>
  <c r="J71" i="160"/>
  <c r="J72" i="160" s="1"/>
  <c r="J78" i="160"/>
  <c r="J79" i="160" s="1"/>
  <c r="J86" i="160"/>
  <c r="J87" i="160" s="1"/>
  <c r="J109" i="160"/>
  <c r="J116" i="160"/>
  <c r="J122" i="160"/>
  <c r="J123" i="160" s="1"/>
  <c r="D130" i="160"/>
  <c r="D131" i="160" s="1"/>
  <c r="E130" i="160"/>
  <c r="E131" i="160" s="1"/>
  <c r="F130" i="160"/>
  <c r="F131" i="160" s="1"/>
  <c r="G130" i="160"/>
  <c r="G131" i="160" s="1"/>
  <c r="J130" i="160"/>
  <c r="J131" i="160" s="1"/>
  <c r="K130" i="160"/>
  <c r="K131" i="160" s="1"/>
  <c r="L130" i="160"/>
  <c r="L131" i="160" s="1"/>
  <c r="M130" i="160"/>
  <c r="M131" i="160" s="1"/>
  <c r="N131" i="160"/>
  <c r="D137" i="160"/>
  <c r="D138" i="160" s="1"/>
  <c r="E137" i="160"/>
  <c r="E138" i="160" s="1"/>
  <c r="F137" i="160"/>
  <c r="F138" i="160" s="1"/>
  <c r="G137" i="160"/>
  <c r="G138" i="160" s="1"/>
  <c r="I137" i="160"/>
  <c r="I138" i="160" s="1"/>
  <c r="J137" i="160"/>
  <c r="J138" i="160" s="1"/>
  <c r="K137" i="160"/>
  <c r="K138" i="160" s="1"/>
  <c r="L137" i="160"/>
  <c r="L138" i="160" s="1"/>
  <c r="M137" i="160"/>
  <c r="M138" i="160" s="1"/>
  <c r="N137" i="160"/>
  <c r="N138" i="160" s="1"/>
  <c r="D144" i="160"/>
  <c r="D145" i="160" s="1"/>
  <c r="E144" i="160"/>
  <c r="E145" i="160" s="1"/>
  <c r="F144" i="160"/>
  <c r="F145" i="160" s="1"/>
  <c r="G144" i="160"/>
  <c r="G145" i="160" s="1"/>
  <c r="I144" i="160"/>
  <c r="I145" i="160" s="1"/>
  <c r="J144" i="160"/>
  <c r="J145" i="160" s="1"/>
  <c r="K144" i="160"/>
  <c r="K145" i="160" s="1"/>
  <c r="L144" i="160"/>
  <c r="L145" i="160" s="1"/>
  <c r="M144" i="160"/>
  <c r="M145" i="160" s="1"/>
  <c r="N144" i="160"/>
  <c r="N145" i="160" s="1"/>
  <c r="N40" i="160"/>
  <c r="N47" i="160"/>
  <c r="N54" i="160"/>
  <c r="N62" i="160"/>
  <c r="N69" i="160"/>
  <c r="N76" i="160"/>
  <c r="N98" i="160"/>
  <c r="M40" i="160"/>
  <c r="M42" i="160" s="1"/>
  <c r="M43" i="160" s="1"/>
  <c r="M47" i="160"/>
  <c r="M49" i="160" s="1"/>
  <c r="M50" i="160" s="1"/>
  <c r="M54" i="160"/>
  <c r="M56" i="160" s="1"/>
  <c r="M57" i="160" s="1"/>
  <c r="M62" i="160"/>
  <c r="M64" i="160" s="1"/>
  <c r="M65" i="160" s="1"/>
  <c r="M69" i="160"/>
  <c r="M71" i="160" s="1"/>
  <c r="M72" i="160" s="1"/>
  <c r="M76" i="160"/>
  <c r="M78" i="160" s="1"/>
  <c r="M79" i="160" s="1"/>
  <c r="M84" i="160"/>
  <c r="M86" i="160" s="1"/>
  <c r="M87" i="160" s="1"/>
  <c r="M91" i="160"/>
  <c r="M93" i="160" s="1"/>
  <c r="M94" i="160" s="1"/>
  <c r="M98" i="160"/>
  <c r="M100" i="160" s="1"/>
  <c r="M101" i="160" s="1"/>
  <c r="M108" i="160"/>
  <c r="M109" i="160" s="1"/>
  <c r="M115" i="160"/>
  <c r="M116" i="160" s="1"/>
  <c r="L40" i="160"/>
  <c r="L47" i="160"/>
  <c r="L54" i="160"/>
  <c r="L62" i="160"/>
  <c r="L69" i="160"/>
  <c r="L76" i="160"/>
  <c r="L84" i="160"/>
  <c r="L91" i="160"/>
  <c r="L98" i="160"/>
  <c r="K40" i="160"/>
  <c r="K47" i="160"/>
  <c r="K54" i="160"/>
  <c r="K62" i="160"/>
  <c r="K69" i="160"/>
  <c r="K76" i="160"/>
  <c r="K84" i="160"/>
  <c r="K91" i="160"/>
  <c r="K98" i="160"/>
  <c r="I62" i="160"/>
  <c r="I76" i="160"/>
  <c r="I84" i="160"/>
  <c r="I98" i="160"/>
  <c r="I120" i="160"/>
  <c r="H40" i="160"/>
  <c r="H42" i="160" s="1"/>
  <c r="H43" i="160" s="1"/>
  <c r="H47" i="160"/>
  <c r="H49" i="160" s="1"/>
  <c r="H50" i="160" s="1"/>
  <c r="H54" i="160"/>
  <c r="H56" i="160" s="1"/>
  <c r="H57" i="160" s="1"/>
  <c r="H62" i="160"/>
  <c r="H64" i="160" s="1"/>
  <c r="H65" i="160" s="1"/>
  <c r="H69" i="160"/>
  <c r="H71" i="160" s="1"/>
  <c r="H72" i="160" s="1"/>
  <c r="H76" i="160"/>
  <c r="H78" i="160" s="1"/>
  <c r="H79" i="160" s="1"/>
  <c r="H84" i="160"/>
  <c r="H86" i="160" s="1"/>
  <c r="H87" i="160" s="1"/>
  <c r="H91" i="160"/>
  <c r="H98" i="160"/>
  <c r="H100" i="160" s="1"/>
  <c r="H101" i="160" s="1"/>
  <c r="H106" i="160"/>
  <c r="H108" i="160" s="1"/>
  <c r="H109" i="160" s="1"/>
  <c r="H115" i="160"/>
  <c r="H116" i="160" s="1"/>
  <c r="H120" i="160"/>
  <c r="H122" i="160" s="1"/>
  <c r="H123" i="160" s="1"/>
  <c r="G29" i="160"/>
  <c r="F29" i="160"/>
  <c r="E29" i="160"/>
  <c r="N28" i="160"/>
  <c r="M28" i="160"/>
  <c r="L28" i="160"/>
  <c r="K28" i="160"/>
  <c r="I28" i="160"/>
  <c r="H28" i="160"/>
  <c r="G28" i="160"/>
  <c r="F28" i="160"/>
  <c r="E28" i="160"/>
  <c r="D28" i="160"/>
  <c r="N27" i="160"/>
  <c r="M27" i="160"/>
  <c r="L27" i="160"/>
  <c r="K27" i="160"/>
  <c r="I27" i="160"/>
  <c r="H27" i="160"/>
  <c r="G27" i="160"/>
  <c r="F27" i="160"/>
  <c r="E27" i="160"/>
  <c r="D27" i="160"/>
  <c r="N23" i="160"/>
  <c r="N24" i="160" s="1"/>
  <c r="N25" i="160" s="1"/>
  <c r="N26" i="160"/>
  <c r="M23" i="160"/>
  <c r="M24" i="160" s="1"/>
  <c r="M25" i="160" s="1"/>
  <c r="M26" i="160"/>
  <c r="L23" i="160"/>
  <c r="L24" i="160" s="1"/>
  <c r="L25" i="160" s="1"/>
  <c r="L26" i="160"/>
  <c r="K23" i="160"/>
  <c r="K24" i="160" s="1"/>
  <c r="K25" i="160" s="1"/>
  <c r="K26" i="160"/>
  <c r="J23" i="160"/>
  <c r="J24" i="160" s="1"/>
  <c r="J25" i="160" s="1"/>
  <c r="I26" i="160"/>
  <c r="H23" i="160"/>
  <c r="H24" i="160" s="1"/>
  <c r="H25" i="160" s="1"/>
  <c r="H26" i="160"/>
  <c r="G23" i="160"/>
  <c r="G24" i="160" s="1"/>
  <c r="G25" i="160" s="1"/>
  <c r="G26" i="160"/>
  <c r="F23" i="160"/>
  <c r="F24" i="160" s="1"/>
  <c r="F25" i="160" s="1"/>
  <c r="F26" i="160"/>
  <c r="E23" i="160"/>
  <c r="E24" i="160" s="1"/>
  <c r="E25" i="160" s="1"/>
  <c r="E26" i="160"/>
  <c r="D23" i="160"/>
  <c r="D24" i="160" s="1"/>
  <c r="D25" i="160" s="1"/>
  <c r="D26" i="160"/>
  <c r="O18" i="160" l="1"/>
  <c r="O19" i="160"/>
  <c r="N91" i="160"/>
  <c r="H93" i="160"/>
  <c r="H94" i="160" s="1"/>
  <c r="I23" i="160"/>
  <c r="D37" i="160"/>
  <c r="D44" i="160"/>
  <c r="D51" i="160"/>
  <c r="D59" i="160"/>
  <c r="D66" i="160"/>
  <c r="D73" i="160"/>
  <c r="D81" i="160"/>
  <c r="D88" i="160"/>
  <c r="D95" i="160"/>
  <c r="E37" i="160"/>
  <c r="E44" i="160"/>
  <c r="E51" i="160"/>
  <c r="E59" i="160"/>
  <c r="E66" i="160"/>
  <c r="E73" i="160"/>
  <c r="E81" i="160"/>
  <c r="E88" i="160"/>
  <c r="E95" i="160"/>
  <c r="F37" i="160"/>
  <c r="F44" i="160"/>
  <c r="F51" i="160"/>
  <c r="F59" i="160"/>
  <c r="F66" i="160"/>
  <c r="F73" i="160"/>
  <c r="F81" i="160"/>
  <c r="F88" i="160"/>
  <c r="F95" i="160"/>
  <c r="G37" i="160"/>
  <c r="G44" i="160"/>
  <c r="G51" i="160"/>
  <c r="G59" i="160"/>
  <c r="G66" i="160"/>
  <c r="G73" i="160"/>
  <c r="G81" i="160"/>
  <c r="G88" i="160"/>
  <c r="G95" i="160"/>
  <c r="H37" i="160"/>
  <c r="H44" i="160"/>
  <c r="H51" i="160"/>
  <c r="H59" i="160"/>
  <c r="H66" i="160"/>
  <c r="H73" i="160"/>
  <c r="H81" i="160"/>
  <c r="H88" i="160"/>
  <c r="H95" i="160"/>
  <c r="H103" i="160"/>
  <c r="H110" i="160"/>
  <c r="H117" i="160"/>
  <c r="I73" i="160"/>
  <c r="I81" i="160"/>
  <c r="I95" i="160"/>
  <c r="I117" i="160"/>
  <c r="K37" i="160"/>
  <c r="K44" i="160"/>
  <c r="K51" i="160"/>
  <c r="K59" i="160"/>
  <c r="K66" i="160"/>
  <c r="K73" i="160"/>
  <c r="K81" i="160"/>
  <c r="K88" i="160"/>
  <c r="K95" i="160"/>
  <c r="K103" i="160"/>
  <c r="K106" i="160" s="1"/>
  <c r="K110" i="160"/>
  <c r="K113" i="160" s="1"/>
  <c r="K117" i="160"/>
  <c r="K120" i="160" s="1"/>
  <c r="L37" i="160"/>
  <c r="L44" i="160"/>
  <c r="L51" i="160"/>
  <c r="L59" i="160"/>
  <c r="L66" i="160"/>
  <c r="L73" i="160"/>
  <c r="L81" i="160"/>
  <c r="L88" i="160"/>
  <c r="L95" i="160"/>
  <c r="M37" i="160"/>
  <c r="M44" i="160"/>
  <c r="M51" i="160"/>
  <c r="M59" i="160"/>
  <c r="M66" i="160"/>
  <c r="M73" i="160"/>
  <c r="M81" i="160"/>
  <c r="M88" i="160"/>
  <c r="M95" i="160"/>
  <c r="M117" i="160"/>
  <c r="M120" i="160" s="1"/>
  <c r="M122" i="160" s="1"/>
  <c r="M123" i="160" s="1"/>
  <c r="N37" i="160"/>
  <c r="N44" i="160"/>
  <c r="N51" i="160"/>
  <c r="N59" i="160"/>
  <c r="N66" i="160"/>
  <c r="N73" i="160"/>
  <c r="N81" i="160"/>
  <c r="N88" i="160"/>
  <c r="N95" i="160"/>
  <c r="N103" i="160"/>
  <c r="N106" i="160" s="1"/>
  <c r="N110" i="160"/>
  <c r="N117" i="160"/>
  <c r="D38" i="160"/>
  <c r="D45" i="160"/>
  <c r="D52" i="160"/>
  <c r="D60" i="160"/>
  <c r="D67" i="160"/>
  <c r="D74" i="160"/>
  <c r="D82" i="160"/>
  <c r="D89" i="160"/>
  <c r="D96" i="160"/>
  <c r="E38" i="160"/>
  <c r="E45" i="160"/>
  <c r="E52" i="160"/>
  <c r="E60" i="160"/>
  <c r="E67" i="160"/>
  <c r="E74" i="160"/>
  <c r="E82" i="160"/>
  <c r="E89" i="160"/>
  <c r="E96" i="160"/>
  <c r="F38" i="160"/>
  <c r="F45" i="160"/>
  <c r="F52" i="160"/>
  <c r="F60" i="160"/>
  <c r="F67" i="160"/>
  <c r="F74" i="160"/>
  <c r="F82" i="160"/>
  <c r="F89" i="160"/>
  <c r="F96" i="160"/>
  <c r="G38" i="160"/>
  <c r="G45" i="160"/>
  <c r="G52" i="160"/>
  <c r="G60" i="160"/>
  <c r="G67" i="160"/>
  <c r="G74" i="160"/>
  <c r="G82" i="160"/>
  <c r="G89" i="160"/>
  <c r="G96" i="160"/>
  <c r="H38" i="160"/>
  <c r="H45" i="160"/>
  <c r="H52" i="160"/>
  <c r="H60" i="160"/>
  <c r="H67" i="160"/>
  <c r="H74" i="160"/>
  <c r="H82" i="160"/>
  <c r="H89" i="160"/>
  <c r="H96" i="160"/>
  <c r="H104" i="160"/>
  <c r="H118" i="160"/>
  <c r="I74" i="160"/>
  <c r="I82" i="160"/>
  <c r="I96" i="160"/>
  <c r="I118" i="160"/>
  <c r="K38" i="160"/>
  <c r="K45" i="160"/>
  <c r="K52" i="160"/>
  <c r="K60" i="160"/>
  <c r="K67" i="160"/>
  <c r="K74" i="160"/>
  <c r="K82" i="160"/>
  <c r="K89" i="160"/>
  <c r="K96" i="160"/>
  <c r="L38" i="160"/>
  <c r="L45" i="160"/>
  <c r="L52" i="160"/>
  <c r="L60" i="160"/>
  <c r="L67" i="160"/>
  <c r="L74" i="160"/>
  <c r="L82" i="160"/>
  <c r="L89" i="160"/>
  <c r="L96" i="160"/>
  <c r="M38" i="160"/>
  <c r="M45" i="160"/>
  <c r="M52" i="160"/>
  <c r="M60" i="160"/>
  <c r="M67" i="160"/>
  <c r="M74" i="160"/>
  <c r="M82" i="160"/>
  <c r="M89" i="160"/>
  <c r="M96" i="160"/>
  <c r="N38" i="160"/>
  <c r="N45" i="160"/>
  <c r="N52" i="160"/>
  <c r="N60" i="160"/>
  <c r="N67" i="160"/>
  <c r="N74" i="160"/>
  <c r="N82" i="160"/>
  <c r="N89" i="160"/>
  <c r="N96" i="160"/>
  <c r="N111" i="160"/>
  <c r="N118" i="160"/>
  <c r="D39" i="160"/>
  <c r="D46" i="160"/>
  <c r="D53" i="160"/>
  <c r="D61" i="160"/>
  <c r="D68" i="160"/>
  <c r="D75" i="160"/>
  <c r="D83" i="160"/>
  <c r="D90" i="160"/>
  <c r="D97" i="160"/>
  <c r="E39" i="160"/>
  <c r="E46" i="160"/>
  <c r="E53" i="160"/>
  <c r="E61" i="160"/>
  <c r="E68" i="160"/>
  <c r="E75" i="160"/>
  <c r="E83" i="160"/>
  <c r="E90" i="160"/>
  <c r="E97" i="160"/>
  <c r="F39" i="160"/>
  <c r="F46" i="160"/>
  <c r="F53" i="160"/>
  <c r="F61" i="160"/>
  <c r="F68" i="160"/>
  <c r="F75" i="160"/>
  <c r="F83" i="160"/>
  <c r="F90" i="160"/>
  <c r="F97" i="160"/>
  <c r="G39" i="160"/>
  <c r="G46" i="160"/>
  <c r="G53" i="160"/>
  <c r="G61" i="160"/>
  <c r="G68" i="160"/>
  <c r="G75" i="160"/>
  <c r="G83" i="160"/>
  <c r="G90" i="160"/>
  <c r="G97" i="160"/>
  <c r="H39" i="160"/>
  <c r="H46" i="160"/>
  <c r="H53" i="160"/>
  <c r="H61" i="160"/>
  <c r="H68" i="160"/>
  <c r="H75" i="160"/>
  <c r="H83" i="160"/>
  <c r="H90" i="160"/>
  <c r="H97" i="160"/>
  <c r="H105" i="160"/>
  <c r="H119" i="160"/>
  <c r="I75" i="160"/>
  <c r="I83" i="160"/>
  <c r="I97" i="160"/>
  <c r="I119" i="160"/>
  <c r="K39" i="160"/>
  <c r="K46" i="160"/>
  <c r="K53" i="160"/>
  <c r="K61" i="160"/>
  <c r="K68" i="160"/>
  <c r="K75" i="160"/>
  <c r="K83" i="160"/>
  <c r="K90" i="160"/>
  <c r="K97" i="160"/>
  <c r="L39" i="160"/>
  <c r="L46" i="160"/>
  <c r="L53" i="160"/>
  <c r="L61" i="160"/>
  <c r="L68" i="160"/>
  <c r="L75" i="160"/>
  <c r="L83" i="160"/>
  <c r="L90" i="160"/>
  <c r="L97" i="160"/>
  <c r="M39" i="160"/>
  <c r="M46" i="160"/>
  <c r="M53" i="160"/>
  <c r="M61" i="160"/>
  <c r="M68" i="160"/>
  <c r="M75" i="160"/>
  <c r="M83" i="160"/>
  <c r="M90" i="160"/>
  <c r="M97" i="160"/>
  <c r="N39" i="160"/>
  <c r="N46" i="160"/>
  <c r="N53" i="160"/>
  <c r="N61" i="160"/>
  <c r="N68" i="160"/>
  <c r="N75" i="160"/>
  <c r="N83" i="160"/>
  <c r="N90" i="160"/>
  <c r="N97" i="160"/>
  <c r="N112" i="160"/>
  <c r="N119" i="160"/>
  <c r="D40" i="160"/>
  <c r="D47" i="160"/>
  <c r="D54" i="160"/>
  <c r="D62" i="160"/>
  <c r="D69" i="160"/>
  <c r="D76" i="160"/>
  <c r="D84" i="160"/>
  <c r="D98" i="160"/>
  <c r="E40" i="160"/>
  <c r="E47" i="160"/>
  <c r="E54" i="160"/>
  <c r="E62" i="160"/>
  <c r="E69" i="160"/>
  <c r="E76" i="160"/>
  <c r="E84" i="160"/>
  <c r="E91" i="160"/>
  <c r="E98" i="160"/>
  <c r="F40" i="160"/>
  <c r="F47" i="160"/>
  <c r="F54" i="160"/>
  <c r="F62" i="160"/>
  <c r="F69" i="160"/>
  <c r="F76" i="160"/>
  <c r="F84" i="160"/>
  <c r="F91" i="160"/>
  <c r="F98" i="160"/>
  <c r="G40" i="160"/>
  <c r="G47" i="160"/>
  <c r="G54" i="160"/>
  <c r="G62" i="160"/>
  <c r="G69" i="160"/>
  <c r="G76" i="160"/>
  <c r="G84" i="160"/>
  <c r="G91" i="160"/>
  <c r="G98" i="160"/>
  <c r="H20" i="160"/>
  <c r="H18" i="160"/>
  <c r="M20" i="160"/>
  <c r="M19" i="160"/>
  <c r="M18" i="160"/>
  <c r="J20" i="160"/>
  <c r="J19" i="160"/>
  <c r="J18" i="160"/>
  <c r="Y16" i="97"/>
  <c r="Z16" i="97"/>
  <c r="X16" i="97"/>
  <c r="O21" i="160" l="1"/>
  <c r="O22" i="160"/>
  <c r="H19" i="160"/>
  <c r="N120" i="160"/>
  <c r="N113" i="160"/>
  <c r="D86" i="160"/>
  <c r="D87" i="160" s="1"/>
  <c r="I24" i="160"/>
  <c r="I25" i="160" s="1"/>
  <c r="J21" i="160"/>
  <c r="J22" i="160"/>
  <c r="M21" i="160"/>
  <c r="M22" i="160"/>
  <c r="H21" i="160"/>
  <c r="H22" i="160"/>
  <c r="N122" i="160"/>
  <c r="N123" i="160" s="1"/>
  <c r="N115" i="160"/>
  <c r="N116" i="160" s="1"/>
  <c r="N108" i="160"/>
  <c r="N109" i="160" s="1"/>
  <c r="N100" i="160"/>
  <c r="N101" i="160" s="1"/>
  <c r="N93" i="160"/>
  <c r="N94" i="160" s="1"/>
  <c r="N86" i="160"/>
  <c r="N87" i="160" s="1"/>
  <c r="N78" i="160"/>
  <c r="N79" i="160" s="1"/>
  <c r="N71" i="160"/>
  <c r="N72" i="160" s="1"/>
  <c r="N64" i="160"/>
  <c r="N65" i="160" s="1"/>
  <c r="N56" i="160"/>
  <c r="N57" i="160" s="1"/>
  <c r="N20" i="160" s="1"/>
  <c r="N49" i="160"/>
  <c r="N50" i="160" s="1"/>
  <c r="N42" i="160"/>
  <c r="N43" i="160" s="1"/>
  <c r="L122" i="160"/>
  <c r="L123" i="160" s="1"/>
  <c r="L115" i="160"/>
  <c r="L116" i="160" s="1"/>
  <c r="L108" i="160"/>
  <c r="L109" i="160" s="1"/>
  <c r="L100" i="160"/>
  <c r="L101" i="160" s="1"/>
  <c r="L93" i="160"/>
  <c r="L94" i="160" s="1"/>
  <c r="L86" i="160"/>
  <c r="L87" i="160" s="1"/>
  <c r="L78" i="160"/>
  <c r="L79" i="160" s="1"/>
  <c r="L71" i="160"/>
  <c r="L72" i="160" s="1"/>
  <c r="L64" i="160"/>
  <c r="L65" i="160" s="1"/>
  <c r="L56" i="160"/>
  <c r="L57" i="160" s="1"/>
  <c r="L49" i="160"/>
  <c r="L50" i="160" s="1"/>
  <c r="L42" i="160"/>
  <c r="L43" i="160" s="1"/>
  <c r="K122" i="160"/>
  <c r="K123" i="160" s="1"/>
  <c r="K115" i="160"/>
  <c r="K116" i="160" s="1"/>
  <c r="K108" i="160"/>
  <c r="K109" i="160" s="1"/>
  <c r="K100" i="160"/>
  <c r="K101" i="160" s="1"/>
  <c r="K93" i="160"/>
  <c r="K94" i="160" s="1"/>
  <c r="K86" i="160"/>
  <c r="K87" i="160" s="1"/>
  <c r="K78" i="160"/>
  <c r="K79" i="160" s="1"/>
  <c r="K71" i="160"/>
  <c r="K72" i="160" s="1"/>
  <c r="K64" i="160"/>
  <c r="K65" i="160" s="1"/>
  <c r="K56" i="160"/>
  <c r="K57" i="160" s="1"/>
  <c r="K20" i="160" s="1"/>
  <c r="K49" i="160"/>
  <c r="K50" i="160" s="1"/>
  <c r="K42" i="160"/>
  <c r="K43" i="160" s="1"/>
  <c r="I122" i="160"/>
  <c r="I123" i="160" s="1"/>
  <c r="I108" i="160"/>
  <c r="I109" i="160" s="1"/>
  <c r="I100" i="160"/>
  <c r="I101" i="160" s="1"/>
  <c r="I86" i="160"/>
  <c r="I87" i="160" s="1"/>
  <c r="I78" i="160"/>
  <c r="I79" i="160" s="1"/>
  <c r="I71" i="160"/>
  <c r="I72" i="160" s="1"/>
  <c r="I64" i="160"/>
  <c r="I65" i="160" s="1"/>
  <c r="I56" i="160"/>
  <c r="I57" i="160" s="1"/>
  <c r="I42" i="160"/>
  <c r="I43" i="160" s="1"/>
  <c r="G122" i="160"/>
  <c r="G123" i="160" s="1"/>
  <c r="G115" i="160"/>
  <c r="G116" i="160" s="1"/>
  <c r="G108" i="160"/>
  <c r="G109" i="160" s="1"/>
  <c r="G100" i="160"/>
  <c r="G101" i="160" s="1"/>
  <c r="G93" i="160"/>
  <c r="G94" i="160" s="1"/>
  <c r="G86" i="160"/>
  <c r="G87" i="160" s="1"/>
  <c r="G78" i="160"/>
  <c r="G79" i="160" s="1"/>
  <c r="G71" i="160"/>
  <c r="G72" i="160" s="1"/>
  <c r="G64" i="160"/>
  <c r="G65" i="160" s="1"/>
  <c r="G56" i="160"/>
  <c r="G57" i="160" s="1"/>
  <c r="G49" i="160"/>
  <c r="G50" i="160" s="1"/>
  <c r="G42" i="160"/>
  <c r="G43" i="160" s="1"/>
  <c r="F122" i="160"/>
  <c r="F123" i="160" s="1"/>
  <c r="F115" i="160"/>
  <c r="F116" i="160" s="1"/>
  <c r="F108" i="160"/>
  <c r="F109" i="160" s="1"/>
  <c r="F100" i="160"/>
  <c r="F101" i="160" s="1"/>
  <c r="F93" i="160"/>
  <c r="F94" i="160" s="1"/>
  <c r="F86" i="160"/>
  <c r="F87" i="160" s="1"/>
  <c r="F78" i="160"/>
  <c r="F79" i="160" s="1"/>
  <c r="F71" i="160"/>
  <c r="F72" i="160" s="1"/>
  <c r="F64" i="160"/>
  <c r="F65" i="160" s="1"/>
  <c r="F56" i="160"/>
  <c r="F57" i="160" s="1"/>
  <c r="F49" i="160"/>
  <c r="F50" i="160" s="1"/>
  <c r="F42" i="160"/>
  <c r="F43" i="160" s="1"/>
  <c r="E122" i="160"/>
  <c r="E123" i="160" s="1"/>
  <c r="E115" i="160"/>
  <c r="E116" i="160" s="1"/>
  <c r="E109" i="160"/>
  <c r="E100" i="160"/>
  <c r="E101" i="160" s="1"/>
  <c r="E93" i="160"/>
  <c r="E94" i="160" s="1"/>
  <c r="E86" i="160"/>
  <c r="E87" i="160" s="1"/>
  <c r="E78" i="160"/>
  <c r="E79" i="160" s="1"/>
  <c r="E71" i="160"/>
  <c r="E72" i="160" s="1"/>
  <c r="E64" i="160"/>
  <c r="E65" i="160" s="1"/>
  <c r="E56" i="160"/>
  <c r="E57" i="160" s="1"/>
  <c r="E49" i="160"/>
  <c r="E50" i="160" s="1"/>
  <c r="E42" i="160"/>
  <c r="E43" i="160" s="1"/>
  <c r="D122" i="160"/>
  <c r="D123" i="160" s="1"/>
  <c r="D115" i="160"/>
  <c r="D116" i="160" s="1"/>
  <c r="D108" i="160"/>
  <c r="D100" i="160"/>
  <c r="D101" i="160" s="1"/>
  <c r="D93" i="160"/>
  <c r="D94" i="160" s="1"/>
  <c r="D78" i="160"/>
  <c r="D79" i="160" s="1"/>
  <c r="D71" i="160"/>
  <c r="D72" i="160" s="1"/>
  <c r="D64" i="160"/>
  <c r="D65" i="160" s="1"/>
  <c r="D56" i="160"/>
  <c r="D57" i="160" s="1"/>
  <c r="D49" i="160"/>
  <c r="D50" i="160" s="1"/>
  <c r="D42" i="160"/>
  <c r="D43" i="160" s="1"/>
  <c r="F18" i="160" l="1"/>
  <c r="G18" i="160"/>
  <c r="K18" i="160"/>
  <c r="N18" i="160"/>
  <c r="N19" i="160"/>
  <c r="E20" i="160"/>
  <c r="G20" i="160"/>
  <c r="L18" i="160"/>
  <c r="L19" i="160"/>
  <c r="D109" i="160"/>
  <c r="F19" i="160"/>
  <c r="F20" i="160"/>
  <c r="E18" i="160"/>
  <c r="E19" i="160"/>
  <c r="E22" i="160" s="1"/>
  <c r="G19" i="160"/>
  <c r="L20" i="160"/>
  <c r="L22" i="160" s="1"/>
  <c r="K19" i="160"/>
  <c r="I18" i="160"/>
  <c r="I20" i="160"/>
  <c r="D20" i="160"/>
  <c r="D19" i="160"/>
  <c r="L21" i="160"/>
  <c r="N21" i="160"/>
  <c r="N22" i="160" l="1"/>
  <c r="F22" i="160"/>
  <c r="G22" i="160"/>
  <c r="F21" i="160"/>
  <c r="G21" i="160"/>
  <c r="K22" i="160"/>
  <c r="D18" i="160"/>
  <c r="D21" i="160" s="1"/>
  <c r="E21" i="160"/>
  <c r="K21" i="160"/>
  <c r="D22" i="160" l="1"/>
  <c r="Y15" i="156"/>
  <c r="G22" i="72"/>
  <c r="G21" i="72"/>
  <c r="F22" i="72"/>
  <c r="F21" i="72"/>
  <c r="I22" i="72"/>
  <c r="I21" i="72"/>
  <c r="M16" i="72" l="1"/>
  <c r="L16" i="72"/>
  <c r="H15" i="156" l="1"/>
  <c r="N16" i="156"/>
  <c r="O15" i="156"/>
  <c r="B16" i="156"/>
  <c r="B15" i="156"/>
  <c r="P16" i="156"/>
  <c r="O16" i="156"/>
  <c r="R16" i="156" s="1"/>
  <c r="Q15" i="156"/>
  <c r="Q16" i="156"/>
  <c r="P15" i="156"/>
  <c r="L15" i="156" l="1"/>
  <c r="K15" i="156"/>
  <c r="M15" i="156"/>
  <c r="I15" i="156"/>
  <c r="J15" i="156" s="1"/>
  <c r="R15" i="156"/>
  <c r="N15" i="156" l="1"/>
  <c r="B21" i="156" s="1"/>
  <c r="Y16" i="156"/>
  <c r="E21" i="156"/>
  <c r="I22" i="156"/>
  <c r="L22" i="156" s="1"/>
  <c r="I21" i="156"/>
  <c r="L21" i="156" s="1"/>
  <c r="G18" i="156"/>
  <c r="F18" i="156"/>
  <c r="E18" i="156"/>
  <c r="C18" i="156"/>
  <c r="B18" i="156"/>
  <c r="Q17" i="156"/>
  <c r="P17" i="156"/>
  <c r="H21" i="156"/>
  <c r="K8" i="156"/>
  <c r="J8" i="156"/>
  <c r="I8" i="156"/>
  <c r="H8" i="156"/>
  <c r="J7" i="156"/>
  <c r="I7" i="156"/>
  <c r="H7" i="156"/>
  <c r="L6" i="156"/>
  <c r="K6" i="156"/>
  <c r="J6" i="156"/>
  <c r="I6" i="156"/>
  <c r="H6" i="156"/>
  <c r="G6" i="156"/>
  <c r="F6" i="156"/>
  <c r="L5" i="156"/>
  <c r="K5" i="156"/>
  <c r="J5" i="156"/>
  <c r="I5" i="156"/>
  <c r="H5" i="156"/>
  <c r="G5" i="156"/>
  <c r="F5" i="156"/>
  <c r="L4" i="156"/>
  <c r="K4" i="156"/>
  <c r="J4" i="156"/>
  <c r="I4" i="156"/>
  <c r="H4" i="156"/>
  <c r="G4" i="156"/>
  <c r="F4" i="156"/>
  <c r="L3" i="156"/>
  <c r="K3" i="156"/>
  <c r="J3" i="156"/>
  <c r="I3" i="156"/>
  <c r="H3" i="156"/>
  <c r="G3" i="156"/>
  <c r="F3" i="156"/>
  <c r="L2" i="156"/>
  <c r="K2" i="156"/>
  <c r="J2" i="156"/>
  <c r="I2" i="156"/>
  <c r="H2" i="156"/>
  <c r="G2" i="156"/>
  <c r="F2" i="156"/>
  <c r="Y15" i="97" l="1"/>
  <c r="B22" i="156"/>
  <c r="J22" i="156" s="1"/>
  <c r="J21" i="156"/>
  <c r="K21" i="156" s="1"/>
  <c r="M21" i="156" s="1"/>
  <c r="Y18" i="156"/>
  <c r="H22" i="156"/>
  <c r="Z15" i="97" l="1"/>
  <c r="K22" i="156"/>
  <c r="M22" i="156" s="1"/>
  <c r="I36" i="153" l="1"/>
  <c r="I35" i="153"/>
  <c r="M35" i="153" l="1"/>
  <c r="K37" i="97" l="1"/>
  <c r="F2" i="153"/>
  <c r="G2" i="153"/>
  <c r="H2" i="153"/>
  <c r="I2" i="153"/>
  <c r="J2" i="153"/>
  <c r="K2" i="153"/>
  <c r="L2" i="153"/>
  <c r="H3" i="153"/>
  <c r="I3" i="153"/>
  <c r="J3" i="153"/>
  <c r="K3" i="153"/>
  <c r="H4" i="153"/>
  <c r="I4" i="153"/>
  <c r="J4" i="153"/>
  <c r="K4" i="153"/>
  <c r="F5" i="153"/>
  <c r="G5" i="153"/>
  <c r="H5" i="153"/>
  <c r="I5" i="153"/>
  <c r="J5" i="153"/>
  <c r="K5" i="153"/>
  <c r="L5" i="153"/>
  <c r="F6" i="153"/>
  <c r="G6" i="153"/>
  <c r="H6" i="153"/>
  <c r="I6" i="153"/>
  <c r="J6" i="153"/>
  <c r="K6" i="153"/>
  <c r="L6" i="153"/>
  <c r="F7" i="153"/>
  <c r="G7" i="153"/>
  <c r="H7" i="153"/>
  <c r="I7" i="153"/>
  <c r="J7" i="153"/>
  <c r="K7" i="153"/>
  <c r="L7" i="153"/>
  <c r="F8" i="153"/>
  <c r="G8" i="153"/>
  <c r="H8" i="153"/>
  <c r="I8" i="153"/>
  <c r="J8" i="153"/>
  <c r="K8" i="153"/>
  <c r="L8" i="153"/>
  <c r="L22" i="72"/>
  <c r="H22" i="72"/>
  <c r="L21" i="72"/>
  <c r="H21" i="72"/>
  <c r="G3" i="153" l="1"/>
  <c r="F4" i="153"/>
  <c r="F8" i="72"/>
  <c r="F8" i="156"/>
  <c r="C21" i="156" s="1"/>
  <c r="F7" i="72"/>
  <c r="B22" i="72" s="1"/>
  <c r="C22" i="72" s="1"/>
  <c r="F7" i="156"/>
  <c r="C22" i="156" s="1"/>
  <c r="G7" i="72"/>
  <c r="E22" i="72" s="1"/>
  <c r="G7" i="156"/>
  <c r="G4" i="153"/>
  <c r="F3" i="153"/>
  <c r="G8" i="72"/>
  <c r="E21" i="72" s="1"/>
  <c r="G8" i="156"/>
  <c r="J22" i="72" l="1"/>
  <c r="K36" i="153"/>
  <c r="M36" i="153" s="1"/>
  <c r="F2" i="66" l="1"/>
  <c r="G2" i="66"/>
  <c r="K2" i="66"/>
  <c r="F3" i="66"/>
  <c r="G3" i="66"/>
  <c r="H3" i="66"/>
  <c r="I3" i="66"/>
  <c r="J3" i="66"/>
  <c r="K3" i="66"/>
  <c r="F4" i="66"/>
  <c r="G4" i="66"/>
  <c r="H4" i="66"/>
  <c r="I4" i="66"/>
  <c r="J4" i="66"/>
  <c r="K4" i="66"/>
  <c r="F5" i="66"/>
  <c r="G5" i="66"/>
  <c r="H5" i="66"/>
  <c r="I5" i="66"/>
  <c r="J5" i="66"/>
  <c r="K5" i="66"/>
  <c r="L5" i="66"/>
  <c r="F6" i="66"/>
  <c r="G6" i="66"/>
  <c r="H6" i="66"/>
  <c r="I6" i="66"/>
  <c r="J6" i="66"/>
  <c r="K6" i="66"/>
  <c r="L6" i="66"/>
  <c r="F7" i="66"/>
  <c r="G7" i="66"/>
  <c r="H7" i="66"/>
  <c r="I7" i="66"/>
  <c r="J7" i="66"/>
  <c r="K7" i="66"/>
  <c r="L7" i="66"/>
  <c r="F8" i="66"/>
  <c r="G8" i="66"/>
  <c r="H8" i="66"/>
  <c r="I8" i="66"/>
  <c r="J8" i="66"/>
  <c r="K8" i="66"/>
  <c r="L8" i="66"/>
  <c r="L8" i="79"/>
  <c r="K8" i="79"/>
  <c r="J8" i="79"/>
  <c r="I8" i="79"/>
  <c r="H8" i="79"/>
  <c r="G8" i="79"/>
  <c r="F8" i="79"/>
  <c r="L7" i="79"/>
  <c r="K7" i="79"/>
  <c r="J7" i="79"/>
  <c r="I7" i="79"/>
  <c r="H7" i="79"/>
  <c r="G7" i="79"/>
  <c r="F7" i="79"/>
  <c r="L6" i="79"/>
  <c r="K6" i="79"/>
  <c r="J6" i="79"/>
  <c r="I6" i="79"/>
  <c r="H6" i="79"/>
  <c r="G6" i="79"/>
  <c r="F6" i="79"/>
  <c r="L5" i="79"/>
  <c r="K5" i="79"/>
  <c r="J5" i="79"/>
  <c r="I5" i="79"/>
  <c r="H5" i="79"/>
  <c r="G5" i="79"/>
  <c r="F5" i="79"/>
  <c r="K4" i="79"/>
  <c r="J4" i="79"/>
  <c r="I4" i="79"/>
  <c r="H4" i="79"/>
  <c r="G4" i="79"/>
  <c r="F4" i="79"/>
  <c r="K3" i="79"/>
  <c r="J3" i="79"/>
  <c r="I3" i="79"/>
  <c r="H3" i="79"/>
  <c r="G3" i="79"/>
  <c r="F3" i="79"/>
  <c r="L2" i="79"/>
  <c r="K2" i="79"/>
  <c r="J2" i="79"/>
  <c r="I2" i="79"/>
  <c r="H2" i="79"/>
  <c r="G2" i="79"/>
  <c r="F2" i="79"/>
  <c r="K8" i="97"/>
  <c r="J8" i="97"/>
  <c r="I8" i="97"/>
  <c r="H8" i="97"/>
  <c r="G8" i="97"/>
  <c r="E21" i="97" s="1"/>
  <c r="F8" i="97"/>
  <c r="B21" i="97" s="1"/>
  <c r="K7" i="97"/>
  <c r="J7" i="97"/>
  <c r="I7" i="97"/>
  <c r="H7" i="97"/>
  <c r="G7" i="97"/>
  <c r="E22" i="97" s="1"/>
  <c r="F7" i="97"/>
  <c r="B22" i="97" s="1"/>
  <c r="L6" i="97"/>
  <c r="K6" i="97"/>
  <c r="J6" i="97"/>
  <c r="I6" i="97"/>
  <c r="H6" i="97"/>
  <c r="G6" i="97"/>
  <c r="F6" i="97"/>
  <c r="L5" i="97"/>
  <c r="K5" i="97"/>
  <c r="J5" i="97"/>
  <c r="I5" i="97"/>
  <c r="H5" i="97"/>
  <c r="G5" i="97"/>
  <c r="F5" i="97"/>
  <c r="K4" i="97"/>
  <c r="J4" i="97"/>
  <c r="I4" i="97"/>
  <c r="H4" i="97"/>
  <c r="G4" i="97"/>
  <c r="F4" i="97"/>
  <c r="K3" i="97"/>
  <c r="J3" i="97"/>
  <c r="I3" i="97"/>
  <c r="H3" i="97"/>
  <c r="G3" i="97"/>
  <c r="F3" i="97"/>
  <c r="L2" i="97"/>
  <c r="K2" i="97"/>
  <c r="J2" i="97"/>
  <c r="I2" i="97"/>
  <c r="H2" i="97"/>
  <c r="G2" i="97"/>
  <c r="F2" i="97"/>
  <c r="J28" i="79"/>
  <c r="J27" i="79"/>
  <c r="D36" i="97" l="1"/>
  <c r="E36" i="97" s="1"/>
  <c r="M15" i="72"/>
  <c r="L15" i="72"/>
  <c r="K15" i="72"/>
  <c r="D37" i="97"/>
  <c r="E37" i="97" s="1"/>
  <c r="C22" i="97"/>
  <c r="J22" i="97" s="1"/>
  <c r="C21" i="97"/>
  <c r="K22" i="72"/>
  <c r="M22" i="72" s="1"/>
  <c r="L37" i="97" l="1"/>
  <c r="M37" i="97" s="1"/>
  <c r="J21" i="97"/>
  <c r="L36" i="97" s="1"/>
  <c r="B21" i="72"/>
  <c r="C21" i="72" s="1"/>
  <c r="J21" i="72" s="1"/>
  <c r="K21" i="72" s="1"/>
  <c r="M21" i="72" s="1"/>
  <c r="C16" i="66"/>
  <c r="B16" i="66"/>
  <c r="L16" i="66"/>
  <c r="J16" i="66"/>
  <c r="H16" i="66"/>
  <c r="M36" i="97" l="1"/>
  <c r="C19" i="66" l="1"/>
  <c r="I4" i="65"/>
  <c r="I5" i="65"/>
  <c r="I8" i="65"/>
  <c r="L7" i="80" l="1"/>
  <c r="L3" i="153"/>
  <c r="L8" i="72"/>
  <c r="L8" i="156"/>
  <c r="L7" i="72"/>
  <c r="L7" i="156"/>
  <c r="L2" i="66"/>
  <c r="L4" i="153"/>
  <c r="L3" i="79"/>
  <c r="L3" i="97"/>
  <c r="L3" i="66"/>
  <c r="L8" i="97"/>
  <c r="L7" i="97"/>
  <c r="L4" i="79"/>
  <c r="L4" i="66"/>
  <c r="L4" i="97"/>
  <c r="S14" i="66"/>
  <c r="R14" i="66"/>
  <c r="Q14" i="66"/>
  <c r="I7" i="65" l="1"/>
  <c r="H2" i="66" l="1"/>
  <c r="I2" i="66"/>
  <c r="J2" i="66"/>
  <c r="I115" i="160" l="1"/>
  <c r="I116" i="160" s="1"/>
  <c r="I91" i="160" l="1"/>
  <c r="I93" i="160" s="1"/>
  <c r="I94" i="160" s="1"/>
  <c r="I19" i="160" l="1"/>
  <c r="I22" i="160" l="1"/>
  <c r="I21" i="160"/>
  <c r="L21" i="165"/>
  <c r="V32" i="153" l="1"/>
  <c r="L35" i="153" l="1"/>
  <c r="H36" i="153"/>
  <c r="L36" i="15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tc={10988880-C10E-4FD2-AD58-10D9101FC49D}</author>
    <author>tc={C329719B-90E4-4937-9E66-A003B4E40C28}</author>
    <author>tc={227CBDD3-3104-4F5B-829C-923960C0F9A8}</author>
    <author>tc={F6B3CE3B-6C0A-493B-99A9-C67E076DCD2B}</author>
    <author>tc={58988B57-5C47-432E-9C86-6135781B539B}</author>
    <author>tc={70EB56A6-ED30-465A-BE32-6BCAF87B6845}</author>
    <author>tc={BECF3913-70ED-4022-B7AB-A038EB429AE6}</author>
    <author>tc={9080382D-11A4-43D2-ADCF-64436108F1EB}</author>
    <author>tc={5E2F3FBB-D01D-41C8-8E60-23339CEFF369}</author>
    <author>tc={3258D060-153C-496B-8C76-8963C4444BAA}</author>
  </authors>
  <commentList>
    <comment ref="D2" authorId="0" shapeId="0" xr:uid="{10988880-C10E-4FD2-AD58-10D9101FC49D}">
      <text>
        <t>[Threaded comment]
Your version of Excel allows you to read this threaded comment; however, any edits to it will get removed if the file is opened in a newer version of Excel. Learn more: https://go.microsoft.com/fwlink/?linkid=870924
Comment:
    Updated distribution ignition rates 12/15/2020. Updated transmission ignition rates on 1/6/21.</t>
      </text>
    </comment>
    <comment ref="B3" authorId="1" shapeId="0" xr:uid="{C329719B-90E4-4937-9E66-A003B4E40C28}">
      <text>
        <t>[Threaded comment]
Your version of Excel allows you to read this threaded comment; however, any edits to it will get removed if the file is opened in a newer version of Excel. Learn more: https://go.microsoft.com/fwlink/?linkid=870924
Comment:
    if time to repair has changed to 10 days, recalculated the fail assumption for emergency (=3x priority fail assumption)</t>
      </text>
    </comment>
    <comment ref="A5" authorId="2" shapeId="0" xr:uid="{227CBDD3-3104-4F5B-829C-923960C0F9A8}">
      <text>
        <t>[Threaded comment]
Your version of Excel allows you to read this threaded comment; however, any edits to it will get removed if the file is opened in a newer version of Excel. Learn more: https://go.microsoft.com/fwlink/?linkid=870924
Comment:
    from CMP study</t>
      </text>
    </comment>
    <comment ref="G8" authorId="3" shapeId="0" xr:uid="{F6B3CE3B-6C0A-493B-99A9-C67E076DCD2B}">
      <text>
        <t>[Threaded comment]
Your version of Excel allows you to read this threaded comment; however, any edits to it will get removed if the file is opened in a newer version of Excel. Learn more: https://go.microsoft.com/fwlink/?linkid=870924
Comment:
    No historical ignitions</t>
      </text>
    </comment>
    <comment ref="A16" authorId="4" shapeId="0" xr:uid="{58988B57-5C47-432E-9C86-6135781B539B}">
      <text>
        <t>[Threaded comment]
Your version of Excel allows you to read this threaded comment; however, any edits to it will get removed if the file is opened in a newer version of Excel. Learn more: https://go.microsoft.com/fwlink/?linkid=870924
Comment:
    established programs, cycle is not included in calculations (marked blue)</t>
      </text>
    </comment>
    <comment ref="H16" authorId="5" shapeId="0" xr:uid="{70EB56A6-ED30-465A-BE32-6BCAF87B6845}">
      <text>
        <t>[Threaded comment]
Your version of Excel allows you to read this threaded comment; however, any edits to it will get removed if the file is opened in a newer version of Excel. Learn more: https://go.microsoft.com/fwlink/?linkid=870924
Comment:
    cycle is not applicable to calculations based on the assumption that findings found through IR can only be found through IR and are invisible to the naked eye.</t>
      </text>
    </comment>
    <comment ref="A25" authorId="6" shapeId="0" xr:uid="{BECF3913-70ED-4022-B7AB-A038EB429AE6}">
      <text>
        <t>[Threaded comment]
Your version of Excel allows you to read this threaded comment; however, any edits to it will get removed if the file is opened in a newer version of Excel. Learn more: https://go.microsoft.com/fwlink/?linkid=870924
Comment:
    Per avg ignition counts at the top</t>
      </text>
    </comment>
    <comment ref="A26" authorId="7" shapeId="0" xr:uid="{9080382D-11A4-43D2-ADCF-64436108F1EB}">
      <text>
        <t>[Threaded comment]
Your version of Excel allows you to read this threaded comment; however, any edits to it will get removed if the file is opened in a newer version of Excel. Learn more: https://go.microsoft.com/fwlink/?linkid=870924
Comment:
    findings by priority per inspection count</t>
      </text>
    </comment>
    <comment ref="A58" authorId="8" shapeId="0" xr:uid="{5E2F3FBB-D01D-41C8-8E60-23339CEFF36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@Galloway, Kevin R  The DIAR program is currently scheduled to stop flights at the end of 2022 and drone flights will start in 2023 asw part of the CMP program.  How would you like to handle this with TCM taking over flights in 2023?</t>
      </text>
    </comment>
    <comment ref="I125" authorId="9" shapeId="0" xr:uid="{3258D060-153C-496B-8C76-8963C4444BAA}">
      <text>
        <t>[Threaded comment]
Your version of Excel allows you to read this threaded comment; however, any edits to it will get removed if the file is opened in a newer version of Excel. Learn more: https://go.microsoft.com/fwlink/?linkid=870924
Comment:
    data as of 6/15, need update?
Reply:
    Updated for 2020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tc={7523FBAB-C39C-4CFA-AFA1-572B4FFD837F}</author>
    <author>tc={A7F08DF1-25F8-4B53-85E1-0915D67A6D69}</author>
    <author>Zhou, Summer (Contractor)</author>
  </authors>
  <commentList>
    <comment ref="B12" authorId="0" shapeId="0" xr:uid="{7523FBAB-C39C-4CFA-AFA1-572B4FFD837F}">
      <text>
        <t>[Threaded comment]
Your version of Excel allows you to read this threaded comment; however, any edits to it will get removed if the file is opened in a newer version of Excel. Learn more: https://go.microsoft.com/fwlink/?linkid=870924
Comment:
    @Veldore, Vidyunmala (Contractor)  can you clarify what this column is? totals? same with columne E12 just fuses number... 
Reply:
    5yr average Operation of Expulsion Fuses for Tier</t>
      </text>
    </comment>
    <comment ref="I18" authorId="1" shapeId="0" xr:uid="{A7F08DF1-25F8-4B53-85E1-0915D67A6D69}">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@Zhou, Summer (Contractor)  looking at the latest dashboard i see number installed in 2021 of 3509 can you please double check your source and let alex and paul know (they were on meeting we discussed this)
Reply:
    Gillian, 3509 is installed under Fuse budget, and there are 501 fuses installed under other program. Would you like me to exclude installed by others?
Reply:
    thanks for that update. 
Reply:
    Per confirmation with paul and alex, we want only the HFTD for this purpose because we are using cost only from HFTD budget. can you therefore go back and update the breakdown by Tier @Zhou, Summer (Contractor) . sorry for the confusion.
Reply:
    @Semmer, Gillian M updated and excluded completed by others
</t>
      </text>
    </comment>
    <comment ref="J18" authorId="2" shapeId="0" xr:uid="{F254252C-8F7C-4A52-AFBF-DC004E999E6E}">
      <text>
        <r>
          <rPr>
            <b/>
            <sz val="9"/>
            <color indexed="81"/>
            <rFont val="Tahoma"/>
            <family val="2"/>
          </rPr>
          <t>Zhou, Summer (Contractor):</t>
        </r>
        <r>
          <rPr>
            <sz val="9"/>
            <color indexed="81"/>
            <rFont val="Tahoma"/>
            <family val="2"/>
          </rPr>
          <t xml:space="preserve">
It includes 66 fuses overlap with other program that is plan to be completed in 2022</t>
        </r>
      </text>
    </comment>
  </commentList>
</comments>
</file>

<file path=xl/sharedStrings.xml><?xml version="1.0" encoding="utf-8"?>
<sst xmlns="http://schemas.openxmlformats.org/spreadsheetml/2006/main" count="3197" uniqueCount="799">
  <si>
    <t>General Rate Case TY 2024</t>
  </si>
  <si>
    <t>(SDG&amp;E-Risk-1-QWP)</t>
  </si>
  <si>
    <t>Wildfire</t>
  </si>
  <si>
    <t>Workpapers</t>
  </si>
  <si>
    <t>May 2022</t>
  </si>
  <si>
    <t>Control/Mitigation Name</t>
  </si>
  <si>
    <t>GeneratorGrantPrograms</t>
  </si>
  <si>
    <t>CoveredConductors</t>
  </si>
  <si>
    <t>Strategic_Undergrounding</t>
  </si>
  <si>
    <t>PSPS Risk Inputs</t>
  </si>
  <si>
    <t>Resiliency Grant Programs (HFTD Tier 3)</t>
  </si>
  <si>
    <t>Resiliency Grant Programs (HFTD Tier 2)</t>
  </si>
  <si>
    <t>Wildfire Risk Inputs</t>
  </si>
  <si>
    <t>Wildfire Risk - Tier 3</t>
  </si>
  <si>
    <t>Wildfire Risk - Tier 2</t>
  </si>
  <si>
    <t>PSPS mitigation % effectiveness</t>
  </si>
  <si>
    <t>Numbers of Average Veg Risk Event Prior Mitigation</t>
  </si>
  <si>
    <t>Numbers of Average Risk Event Prior Mitigation (per 100miles)</t>
  </si>
  <si>
    <t>Pre-Mitigation LoRE</t>
  </si>
  <si>
    <t>Historical Ignition Rate</t>
  </si>
  <si>
    <t>% Change in LoRE Reduction</t>
  </si>
  <si>
    <t>Installation/Repairment/Replacement Year 1</t>
  </si>
  <si>
    <t>Projected 2024 Residential/Industrial/Commercial</t>
  </si>
  <si>
    <t>Installation/Repairment/Replacement Year 2</t>
  </si>
  <si>
    <t>Projected 2024 Essential</t>
  </si>
  <si>
    <t>Installation/Repairment/Replacement Year 3</t>
  </si>
  <si>
    <t>Projected 2024 Urgent</t>
  </si>
  <si>
    <t>Total Units in the Network</t>
  </si>
  <si>
    <t>Projected 2024 Medical Baseline</t>
  </si>
  <si>
    <t>Effectiveness Estimate</t>
  </si>
  <si>
    <t>Pre-Mitigation CoRE</t>
  </si>
  <si>
    <t>Total Ignition Reduced</t>
  </si>
  <si>
    <t>Total Risk Reduction</t>
  </si>
  <si>
    <t>O&amp;M Cost ($K) Year 3</t>
  </si>
  <si>
    <t>Capital Cost ($K) Year 3</t>
  </si>
  <si>
    <t>Total Year 3 Cost ($K)</t>
  </si>
  <si>
    <t>Total Wildfire Risk Reduction</t>
  </si>
  <si>
    <t>Lifetime Benefits (Years)</t>
  </si>
  <si>
    <t>Strategic Undergrounding (HFTD Tier 3)</t>
  </si>
  <si>
    <t>Strategic Undergrounding (HFTD Tier 2)</t>
  </si>
  <si>
    <t>Discounted Time (Years)</t>
  </si>
  <si>
    <t>RSE per Million</t>
  </si>
  <si>
    <t>Total Cost ($K)</t>
  </si>
  <si>
    <t>Projected 2022 Residential/Industrial/Commercial</t>
  </si>
  <si>
    <t>Projected 2022 Essential</t>
  </si>
  <si>
    <t>Projected 2022 Urgent</t>
  </si>
  <si>
    <t>Projected 2022 Medical Baseline</t>
  </si>
  <si>
    <t>Total PSPS Risk Reduction</t>
  </si>
  <si>
    <t>Risk Name</t>
  </si>
  <si>
    <t xml:space="preserve"> SDG&amp;E Wildfire Involving SDG&amp;E Equipment</t>
  </si>
  <si>
    <t>LoRE</t>
  </si>
  <si>
    <t>CoRE Safety</t>
  </si>
  <si>
    <t>CoRE Reliability</t>
  </si>
  <si>
    <t>CoRE Financial</t>
  </si>
  <si>
    <t>Total CoRE</t>
  </si>
  <si>
    <t>Pre-Mitigated Risk Score</t>
  </si>
  <si>
    <t>Wildfire Risk - Non-HFTD</t>
  </si>
  <si>
    <t>Wildfire Risk</t>
  </si>
  <si>
    <t>PSPS Risk - Tier 3
Standby Power Program</t>
  </si>
  <si>
    <t>PSPS Risk - Tier 2
Standby Power Program</t>
  </si>
  <si>
    <t>PSPS Risk  - Tier 3
Generator Grant Program</t>
  </si>
  <si>
    <t>PSPS Risk  - Tier 2
Generator Grant Program</t>
  </si>
  <si>
    <t>PSPS Risk  - Tier 3
Generator Assistance Program</t>
  </si>
  <si>
    <t>PSPS Risk  - Tier 2
Generator Assistance Program</t>
  </si>
  <si>
    <t>PSPS Risk  - Tier 3
Resilience Program Microgrid</t>
  </si>
  <si>
    <t>PSPS Risk  - Tier 2
Resilience Program Microgrid</t>
  </si>
  <si>
    <t>PSPS Risk  - Tier 3
PSPS Sectionalizing</t>
  </si>
  <si>
    <t>PSPS Risk  - Tier 2
PSPS Sectionalizing</t>
  </si>
  <si>
    <t>Name</t>
  </si>
  <si>
    <t>Tier</t>
  </si>
  <si>
    <t>Metric</t>
  </si>
  <si>
    <t>Assumed Value</t>
  </si>
  <si>
    <t>Source</t>
  </si>
  <si>
    <t>System PSPS avg event per year</t>
  </si>
  <si>
    <t>Tier 3</t>
  </si>
  <si>
    <t>See Minal's screenshot</t>
  </si>
  <si>
    <t>Tier 2</t>
  </si>
  <si>
    <t>Total Customers as 2021</t>
  </si>
  <si>
    <t>Avg number of Customers affected per PSPS event</t>
  </si>
  <si>
    <t>calculated</t>
  </si>
  <si>
    <t>ratio of avg PSPS customer divided by total customers</t>
  </si>
  <si>
    <t>Standby Power Program</t>
  </si>
  <si>
    <t>customer</t>
  </si>
  <si>
    <t>tab Standby Grant Program</t>
  </si>
  <si>
    <t>These customers likely experience most PSPS events</t>
  </si>
  <si>
    <t>Generator Grant Program</t>
  </si>
  <si>
    <t>calculation</t>
  </si>
  <si>
    <t>Generator Assistance Program</t>
  </si>
  <si>
    <t>Resilience Program Microgrids</t>
  </si>
  <si>
    <t>PSPS Sectionalizing</t>
  </si>
  <si>
    <t>Incident Type</t>
  </si>
  <si>
    <t>General Assumptions</t>
  </si>
  <si>
    <t>avg number of ignitions in SDG&amp;E territory</t>
  </si>
  <si>
    <t>Internal data</t>
  </si>
  <si>
    <t>Expected total fire size</t>
  </si>
  <si>
    <t>SME Input, based on Wildfire Activity Statistics</t>
  </si>
  <si>
    <t>Total Significant Fire Incidents per Year</t>
  </si>
  <si>
    <t>SME, internal data</t>
  </si>
  <si>
    <t>Total Serious Injuries and Fatalities (SIFs) per significant fire incident</t>
  </si>
  <si>
    <t xml:space="preserve">% Tier 2 </t>
  </si>
  <si>
    <t>calculated from Technosylva simulations, ratios based on cAcrAve</t>
  </si>
  <si>
    <t>% Tier 3</t>
  </si>
  <si>
    <t>% Non-HFTD</t>
  </si>
  <si>
    <t>Tier 2 -- avg acres per year</t>
  </si>
  <si>
    <t>Tier 3 -- avg acres per year</t>
  </si>
  <si>
    <t>non HFTD -- avg acres per year</t>
  </si>
  <si>
    <t>Total safety index per year</t>
  </si>
  <si>
    <t>Calculation</t>
  </si>
  <si>
    <t>$ per acre</t>
  </si>
  <si>
    <t>$ per structure damaged</t>
  </si>
  <si>
    <t>Structures per acre</t>
  </si>
  <si>
    <t>Wildfire LoRE</t>
  </si>
  <si>
    <t>Total Incidents per Year</t>
  </si>
  <si>
    <t>See Masters Inputs -- 2017 –2021 ignition data, SME inputs</t>
  </si>
  <si>
    <t>Non-HFTD</t>
  </si>
  <si>
    <t>Total incidents per year</t>
  </si>
  <si>
    <t>PSPS LoRE</t>
  </si>
  <si>
    <t>Tier 3 and Tier 2</t>
  </si>
  <si>
    <t>Internal reliability data </t>
  </si>
  <si>
    <t>Safety</t>
  </si>
  <si>
    <t>HFTD</t>
  </si>
  <si>
    <t>% Tier 2 safety index of total safety index</t>
  </si>
  <si>
    <t>SME Input</t>
  </si>
  <si>
    <t>% Tier 3 safety index of total safety index</t>
  </si>
  <si>
    <t>Tier 2 Safety index per incident</t>
  </si>
  <si>
    <t>Tier 3 Safety index per incident</t>
  </si>
  <si>
    <t>Total Non-HFTD safety index per incident</t>
  </si>
  <si>
    <t xml:space="preserve">PSPS </t>
  </si>
  <si>
    <t>Total safety incidents per year</t>
  </si>
  <si>
    <t>Tier 3 safety index per incident</t>
  </si>
  <si>
    <t>Tier 2 safety index per incident</t>
  </si>
  <si>
    <t>Financial</t>
  </si>
  <si>
    <t>Tier 3, $M USD per incident (repair cost, destruction of property)</t>
  </si>
  <si>
    <t>Tier 2, $M USD per incident (repair cost, destruction of property)</t>
  </si>
  <si>
    <t>$M USD per year (repair cost, destruction of property)</t>
  </si>
  <si>
    <t>Reliability</t>
  </si>
  <si>
    <t>Reliability index per incident, tier 3</t>
  </si>
  <si>
    <t>SME based on internal reliability data </t>
  </si>
  <si>
    <t>Reliability index per incident, tier 2</t>
  </si>
  <si>
    <t>Reliability index per incident</t>
  </si>
  <si>
    <t>Tier 3, SAIDI Minutes per year</t>
  </si>
  <si>
    <t>Tier 3, SAIFI Outages per year</t>
  </si>
  <si>
    <t>Tier 3, Reliability Index per incident</t>
  </si>
  <si>
    <t>Tier 2, SAIDI Minutes per year</t>
  </si>
  <si>
    <t>Tier 2, SAIFI Outages per year</t>
  </si>
  <si>
    <t>Tier 2, Reliability Index per incident</t>
  </si>
  <si>
    <t>PSPS Risk - Tier 3</t>
  </si>
  <si>
    <t>PSPS Risk - Tier 2</t>
  </si>
  <si>
    <t>PSPS Risk</t>
  </si>
  <si>
    <t>Total Risk Score</t>
  </si>
  <si>
    <t>SME assumption</t>
  </si>
  <si>
    <t>Master Inputs</t>
  </si>
  <si>
    <t>Discount Factors</t>
  </si>
  <si>
    <t>Benefit Discount Factor</t>
  </si>
  <si>
    <t>MAVF Framework</t>
  </si>
  <si>
    <t>Range</t>
  </si>
  <si>
    <t>Weight</t>
  </si>
  <si>
    <t>WeightD</t>
  </si>
  <si>
    <t>Weightn</t>
  </si>
  <si>
    <t>Safety Index</t>
  </si>
  <si>
    <t>Reliability Index</t>
  </si>
  <si>
    <t>Financial Cost</t>
  </si>
  <si>
    <t>Stakeholder Satisfaction Index</t>
  </si>
  <si>
    <t>SAIDI</t>
  </si>
  <si>
    <t>SAIFI</t>
  </si>
  <si>
    <t>FinancialImpactPerCustomer</t>
  </si>
  <si>
    <t xml:space="preserve">ReadabilityFactor </t>
  </si>
  <si>
    <t>LengthofPSPSShutdown</t>
  </si>
  <si>
    <t>SafetyCustomerMinutes</t>
  </si>
  <si>
    <t>TotalCustomersSDGE</t>
  </si>
  <si>
    <t>CoRE</t>
  </si>
  <si>
    <t xml:space="preserve">MedicalFactors </t>
  </si>
  <si>
    <t>Residential</t>
  </si>
  <si>
    <t>Essential</t>
  </si>
  <si>
    <t>Risk Events</t>
  </si>
  <si>
    <t>Ignitions</t>
  </si>
  <si>
    <t>Location</t>
  </si>
  <si>
    <t>5-year Avg</t>
  </si>
  <si>
    <t>2017-2021</t>
  </si>
  <si>
    <t>(2017-2021)</t>
  </si>
  <si>
    <t>System</t>
  </si>
  <si>
    <t>HFTD (Tier 2 + Tier 3)</t>
  </si>
  <si>
    <t>Distribution Historical Faults</t>
  </si>
  <si>
    <t>Distribution Historical Ignitions</t>
  </si>
  <si>
    <t>5 year average Ignition Rate</t>
  </si>
  <si>
    <t>5-yr avg (2017-2021)</t>
  </si>
  <si>
    <t>5-yr avg ignition (2017-2021)</t>
  </si>
  <si>
    <t>Normal</t>
  </si>
  <si>
    <t>Elevated</t>
  </si>
  <si>
    <t>Extreme</t>
  </si>
  <si>
    <t>ALL</t>
  </si>
  <si>
    <t>All Contact</t>
  </si>
  <si>
    <t>Veg. contact- Distribution</t>
  </si>
  <si>
    <t>Animal contact- Distribution</t>
  </si>
  <si>
    <t>AVG</t>
  </si>
  <si>
    <t>Balloon contact- Distribution</t>
  </si>
  <si>
    <t>Vehicle contact- Distribution</t>
  </si>
  <si>
    <t>Other contact from object - Distribution</t>
  </si>
  <si>
    <t>All Equipment Failure</t>
  </si>
  <si>
    <t>Capacitor bank damage or failure- Distribution</t>
  </si>
  <si>
    <t>Conductor damage or failure — Distribution</t>
  </si>
  <si>
    <t>Fuse damage or failure - Distribution</t>
  </si>
  <si>
    <t>Lightning arrestor damage or failure- Distribution</t>
  </si>
  <si>
    <t>Switch damage or failure- Distribution</t>
  </si>
  <si>
    <t>Pole damage or failure - Distribution</t>
  </si>
  <si>
    <t>Insulator and brushing damage or failure - Distribution</t>
  </si>
  <si>
    <t>Crossarm damage or failure - Distribution</t>
  </si>
  <si>
    <t>Voltage regulator / booster damage or failure - Distribution</t>
  </si>
  <si>
    <t>Recloser damage or failure - Distribution</t>
  </si>
  <si>
    <t>Anchor / guy damage or failure - Distribution</t>
  </si>
  <si>
    <t>Sectionalizer damage or failure - Distribution</t>
  </si>
  <si>
    <t>Connection device damage or failure - Distribution</t>
  </si>
  <si>
    <t>Transformer damage or failure - Distribution</t>
  </si>
  <si>
    <t>Other - Distribution</t>
  </si>
  <si>
    <t>All Other</t>
  </si>
  <si>
    <t>Wire-to-wire contact / contamination- Distribution</t>
  </si>
  <si>
    <t>Contamination - Distribution</t>
  </si>
  <si>
    <t>Utility work / Operation</t>
  </si>
  <si>
    <t>Vandalism / Theft - Distribution</t>
  </si>
  <si>
    <t>All Other- Distribution</t>
  </si>
  <si>
    <t>Unknown - Distribution</t>
  </si>
  <si>
    <t>Grand Total - All Faults &amp; Ignitions</t>
  </si>
  <si>
    <t>Distributuion Hardening Data</t>
  </si>
  <si>
    <t>Risk events before hardening</t>
  </si>
  <si>
    <t>Risk events after hardening</t>
  </si>
  <si>
    <t>Extrapolated Before Hardening</t>
  </si>
  <si>
    <t>Extrapolated After Hardening</t>
  </si>
  <si>
    <t>Effectiveness</t>
  </si>
  <si>
    <t xml:space="preserve">Other Special Work Procedures: </t>
  </si>
  <si>
    <t>Personnel Work Procedures and Infrasturcutre Protection Teams</t>
  </si>
  <si>
    <t>Normal FPI</t>
  </si>
  <si>
    <t>Elevated FPI</t>
  </si>
  <si>
    <t>Extreme FPI or RFW</t>
  </si>
  <si>
    <t>Normal Days</t>
  </si>
  <si>
    <t>Elevated Days</t>
  </si>
  <si>
    <t>Extreme or RFW Days</t>
  </si>
  <si>
    <t>5 yr avg</t>
  </si>
  <si>
    <t>normalized</t>
  </si>
  <si>
    <t>Days</t>
  </si>
  <si>
    <t>Faults per day Tier 2</t>
  </si>
  <si>
    <t>Faults per day Tier 3</t>
  </si>
  <si>
    <t>Extreme or RFW Procedures</t>
  </si>
  <si>
    <t>Normal + Elevated 5 year average</t>
  </si>
  <si>
    <t>Risk events avoided</t>
  </si>
  <si>
    <t>ignition rate</t>
  </si>
  <si>
    <t>ign avoided</t>
  </si>
  <si>
    <t>Recloser Protocoal</t>
  </si>
  <si>
    <t>Faults By Tier And Weather Condition</t>
  </si>
  <si>
    <t>All Faults</t>
  </si>
  <si>
    <t>Year</t>
  </si>
  <si>
    <t>avg</t>
  </si>
  <si>
    <t>5 yr avg. Ignition Rate</t>
  </si>
  <si>
    <t xml:space="preserve">Normal </t>
  </si>
  <si>
    <t>Estimated Faults Avoided</t>
  </si>
  <si>
    <t>Estimated Ignition Avoided</t>
  </si>
  <si>
    <t>Total</t>
  </si>
  <si>
    <t>5 yr Avg</t>
  </si>
  <si>
    <r>
      <rPr>
        <b/>
        <sz val="11"/>
        <color theme="1"/>
        <rFont val="Calibri"/>
        <family val="2"/>
        <scheme val="minor"/>
      </rPr>
      <t>WMP Inspection Analysis -</t>
    </r>
    <r>
      <rPr>
        <sz val="11"/>
        <color theme="1"/>
        <rFont val="Calibri"/>
        <family val="2"/>
        <charset val="238"/>
        <scheme val="minor"/>
      </rPr>
      <t xml:space="preserve"> Last Updated 01/26/2021</t>
    </r>
  </si>
  <si>
    <t>% Fail assumption</t>
  </si>
  <si>
    <t>Ignition Rates - 5yr average (2017-2021)</t>
  </si>
  <si>
    <t>Ignition Counts - 5yr average (2017-2021)</t>
  </si>
  <si>
    <t>Emergency (0-3 days)</t>
  </si>
  <si>
    <t>Distribution - HFTD Tier 3</t>
  </si>
  <si>
    <t>Transmission - HFTD Tier 3</t>
  </si>
  <si>
    <t>Priority (4-30 days)</t>
  </si>
  <si>
    <t>Distribution - HFTD Tier 2</t>
  </si>
  <si>
    <t>Transmission - HFTD Tier 2</t>
  </si>
  <si>
    <t>Non-critical / Non-priority (6-12mos)</t>
  </si>
  <si>
    <t xml:space="preserve">Distribution - Non-HFTD </t>
  </si>
  <si>
    <t>Transmission - Non-HFTD</t>
  </si>
  <si>
    <t>Distribution - HFTD All</t>
  </si>
  <si>
    <t>Transmission - HFTD All</t>
  </si>
  <si>
    <t>Distribution - System wide</t>
  </si>
  <si>
    <t>Transmission - System wide</t>
  </si>
  <si>
    <t>Substation - System wide</t>
  </si>
  <si>
    <t>Substation - system wide</t>
  </si>
  <si>
    <t>Program</t>
  </si>
  <si>
    <t>Overhead Detailed Inspections</t>
  </si>
  <si>
    <t>Annual Patrol Inspections</t>
  </si>
  <si>
    <t>Wood Pole Intrusive Inspections</t>
  </si>
  <si>
    <t>HFTD Tier 3 Inspections (QA/QC)</t>
  </si>
  <si>
    <t>Distribution Infrared Inspections</t>
  </si>
  <si>
    <t>Distribution Drone Assessments</t>
  </si>
  <si>
    <t>Circuit Ownership</t>
  </si>
  <si>
    <t>Transmission Visual  Inspections (patrol)</t>
  </si>
  <si>
    <t>Transmission Detailed Inspections
(ground)</t>
  </si>
  <si>
    <t>Transmission Infrared  Inspections</t>
  </si>
  <si>
    <t>Additional Transmission Aerial 69kV Tier 3 Visual Inspections</t>
  </si>
  <si>
    <t>Transmission Drone Assessments</t>
  </si>
  <si>
    <t>Status</t>
  </si>
  <si>
    <t>Established</t>
  </si>
  <si>
    <t>Pilot</t>
  </si>
  <si>
    <t>Completed, Done</t>
  </si>
  <si>
    <t>RAMP classification</t>
  </si>
  <si>
    <t>Control</t>
  </si>
  <si>
    <t>Mitigation</t>
  </si>
  <si>
    <t>Distribution</t>
  </si>
  <si>
    <t>Transmission</t>
  </si>
  <si>
    <t>Inspection Location</t>
  </si>
  <si>
    <t>HFTD All</t>
  </si>
  <si>
    <t>System wide</t>
  </si>
  <si>
    <t>Cycle</t>
  </si>
  <si>
    <t>NA</t>
  </si>
  <si>
    <t>Summary Findings</t>
  </si>
  <si>
    <t>4yr Forecast Total Ignitions Avoided - Tier 3</t>
  </si>
  <si>
    <t>4yr Forecast Total Ignitions Avoided - Tier 2</t>
  </si>
  <si>
    <t>4yr Forecast Total Ignitions Avoided - Non-HFTD</t>
  </si>
  <si>
    <t>4yr Forecast Total Ignitions Avoided - HFTD All</t>
  </si>
  <si>
    <t>4yr Forecast Total Ignitions Avoided - System</t>
  </si>
  <si>
    <t>Historical Annual Faults Avoided</t>
  </si>
  <si>
    <t>Historical Annual Ignitions Avoided</t>
  </si>
  <si>
    <t>% of Avg Annual Ignitions Avoided</t>
  </si>
  <si>
    <t>Hit Rates</t>
  </si>
  <si>
    <t>Non-critical</t>
  </si>
  <si>
    <t>All Fire Risk Infractions</t>
  </si>
  <si>
    <t>5-year 
average findings and 
counts</t>
  </si>
  <si>
    <t>Fire Risk Infractions</t>
  </si>
  <si>
    <t>Inspection Count</t>
  </si>
  <si>
    <t>Forecast Avoidance per RAMP Forecast</t>
  </si>
  <si>
    <t>Total Inspections</t>
  </si>
  <si>
    <t>Est. Inspection Count</t>
  </si>
  <si>
    <t>Est. faults avoided</t>
  </si>
  <si>
    <t>Est. Ign avoided</t>
  </si>
  <si>
    <t>Est. Emergency (0-3 days)</t>
  </si>
  <si>
    <t>Est. Priority (4-30 days)</t>
  </si>
  <si>
    <t>Est. Non-critical</t>
  </si>
  <si>
    <t>Est. All Fire Risk Infractions</t>
  </si>
  <si>
    <t>2021 Actuals</t>
  </si>
  <si>
    <t>2020 Actuals</t>
  </si>
  <si>
    <t>Faults avoided</t>
  </si>
  <si>
    <t>Ignitions avoided</t>
  </si>
  <si>
    <t>Historical Data for Calculations</t>
  </si>
  <si>
    <t>Pre-Mitigated LoRE and CoRE</t>
  </si>
  <si>
    <t>CoRE - Safety</t>
  </si>
  <si>
    <t>CoRE - Reliability</t>
  </si>
  <si>
    <t>CoRE - Financial</t>
  </si>
  <si>
    <t>CoRE - Stakeholder</t>
  </si>
  <si>
    <t>PSPS Overall</t>
  </si>
  <si>
    <t>PSPS Tier 2</t>
  </si>
  <si>
    <t>PSPS Tier 3</t>
  </si>
  <si>
    <t>Wildfire Non-HFTD</t>
  </si>
  <si>
    <t>WildFire Overall</t>
  </si>
  <si>
    <t>WildFire Tier 2</t>
  </si>
  <si>
    <t>WildFire Tier 3</t>
  </si>
  <si>
    <t>2021 WMP Initiative #</t>
  </si>
  <si>
    <t xml:space="preserve">RAMP ID </t>
  </si>
  <si>
    <t>Initative activity</t>
  </si>
  <si>
    <t>Classification</t>
  </si>
  <si>
    <t>Applicable?</t>
  </si>
  <si>
    <t>Pre-Mitigat. LoRE</t>
  </si>
  <si>
    <t>Pre-Mitigat. CoRE</t>
  </si>
  <si>
    <t>Pre-Mitigat. CoRE-Safety</t>
  </si>
  <si>
    <t>Pre-Mitigat. CoRE-Reliab.</t>
  </si>
  <si>
    <t>Pre-Mitigat. CoRE-Fin.</t>
  </si>
  <si>
    <t>Pre-Mitigat. CoRE-Stakeh.</t>
  </si>
  <si>
    <t>Pre-Mitigat. Risk Score</t>
  </si>
  <si>
    <t xml:space="preserve">
7.3.3.11.1</t>
  </si>
  <si>
    <t>SDGE-Risk-1-C14/M8-T1/M8-T2</t>
  </si>
  <si>
    <t>Resiliency Grant Programs/Generator Grant Program</t>
  </si>
  <si>
    <t>No</t>
  </si>
  <si>
    <t>Yes</t>
  </si>
  <si>
    <t>Wildfire
Risk Reduction Data</t>
  </si>
  <si>
    <t>Data Category/ Calculation</t>
  </si>
  <si>
    <t>Non HFTD</t>
  </si>
  <si>
    <t>Total, System-Wide</t>
  </si>
  <si>
    <t>Wildfire
Risk Reduction</t>
  </si>
  <si>
    <t>LoRE Reduction %</t>
  </si>
  <si>
    <t>LoRE Reduction Value</t>
  </si>
  <si>
    <t>CoRE Reduction %</t>
  </si>
  <si>
    <t>CoRE Reduction Value</t>
  </si>
  <si>
    <t>O&amp;M Spend</t>
  </si>
  <si>
    <t>Capex Spend</t>
  </si>
  <si>
    <t>Lifetime Benefit (Years)</t>
  </si>
  <si>
    <t>PSPS
Risk Reduction Data</t>
  </si>
  <si>
    <t xml:space="preserve"> 2022 Residential/Industrial/Commercial</t>
  </si>
  <si>
    <t>2022 Essential</t>
  </si>
  <si>
    <t>2022 Urgent</t>
  </si>
  <si>
    <t xml:space="preserve"> 2022 Medical Baseline</t>
  </si>
  <si>
    <t xml:space="preserve"> 2023 Residential/Industrial/Commercial</t>
  </si>
  <si>
    <t>2023 Essential</t>
  </si>
  <si>
    <t>2023 Urgent</t>
  </si>
  <si>
    <t>2023 Medical Baseline</t>
  </si>
  <si>
    <t xml:space="preserve"> Projected 2024 Residential/Industrial/Commercial</t>
  </si>
  <si>
    <t>Pre PSPS LoRE</t>
  </si>
  <si>
    <t>Pre PSPS CoRE Safety</t>
  </si>
  <si>
    <t>Pre PSPS CoRE Reliability</t>
  </si>
  <si>
    <t>Pre PSPS CoRE Financial</t>
  </si>
  <si>
    <t>Pre PSPS CoRE</t>
  </si>
  <si>
    <t>Extent of PSPS mitigation (Effectiveness)</t>
  </si>
  <si>
    <t>PSPS Risk Reduced</t>
  </si>
  <si>
    <t>Lifetime benefit</t>
  </si>
  <si>
    <t>2022 O&amp;M Cost ($M)</t>
  </si>
  <si>
    <t>2022 Capital Cost ($M)</t>
  </si>
  <si>
    <t>2023 O&amp;M Cost ($M)</t>
  </si>
  <si>
    <t>2023 Capital Cost ($M)</t>
  </si>
  <si>
    <t>2024 O&amp;M Cost ($M)</t>
  </si>
  <si>
    <t>2024 Capital Cost ($M)</t>
  </si>
  <si>
    <t>SME</t>
  </si>
  <si>
    <t>Calculated</t>
  </si>
  <si>
    <t>PSPS
Risk Reduction</t>
  </si>
  <si>
    <t>O&amp;M Cost ($M)</t>
  </si>
  <si>
    <t>Capital Cost ($M)</t>
  </si>
  <si>
    <t>Total Cost ($M)</t>
  </si>
  <si>
    <t>Discounted Time</t>
  </si>
  <si>
    <t>PSPS risk reduced</t>
  </si>
  <si>
    <t>Risk Reduction</t>
  </si>
  <si>
    <t>RSE 
(per million $)</t>
  </si>
  <si>
    <t>RSE  2024 Only
(per million)</t>
  </si>
  <si>
    <t>Units</t>
  </si>
  <si>
    <t xml:space="preserve"> Projected 2022 Residential/Industrial/Commercial</t>
  </si>
  <si>
    <t>Sum</t>
  </si>
  <si>
    <t>Resi</t>
  </si>
  <si>
    <t>Urgent</t>
  </si>
  <si>
    <t>Medical</t>
  </si>
  <si>
    <t>O&amp;M Only</t>
  </si>
  <si>
    <t>PTY 2024</t>
  </si>
  <si>
    <t>PTY | 2025</t>
  </si>
  <si>
    <t>PTY | 2026</t>
  </si>
  <si>
    <t>PTY | 2027</t>
  </si>
  <si>
    <t>O&amp;M Escalation Rate²</t>
  </si>
  <si>
    <t>Capital Additions | Electric Distribution¹</t>
  </si>
  <si>
    <t>Mitigation Initiative</t>
  </si>
  <si>
    <t xml:space="preserve">Lead SME Listed for Mitigation </t>
  </si>
  <si>
    <t>Other Resources (PMs, SMEs) Include in Meeting</t>
  </si>
  <si>
    <t xml:space="preserve">SMEs update 
--
change to Yes after you validate </t>
  </si>
  <si>
    <t>Minal update
--
change to Yes after you validate</t>
  </si>
  <si>
    <t xml:space="preserve">Kris Bourbois to provide updates
--
change to Yes after you validate </t>
  </si>
  <si>
    <t>Luke Kristensen to provide updates 
--
change to Yes after you validate</t>
  </si>
  <si>
    <t>Link to Sheet</t>
  </si>
  <si>
    <t>PM NOTES</t>
  </si>
  <si>
    <t>SCADA Capacitor</t>
  </si>
  <si>
    <t>Paul Greco</t>
  </si>
  <si>
    <t>Barbara Kritzik</t>
  </si>
  <si>
    <t>Jesus Acevedo</t>
  </si>
  <si>
    <t>N/A</t>
  </si>
  <si>
    <t>SCADA_Capacitors</t>
  </si>
  <si>
    <t>GS: no O&amp;M cost needed; still need 2023 capital cost information</t>
  </si>
  <si>
    <t>Lightning Arrestor</t>
  </si>
  <si>
    <t>Lorie Azar</t>
  </si>
  <si>
    <t>Victor Valencia</t>
  </si>
  <si>
    <t>LightningArrestorsRemovalReplac</t>
  </si>
  <si>
    <t>no O&amp;M needed</t>
  </si>
  <si>
    <t>Wireless Fault Indicators</t>
  </si>
  <si>
    <t>Chris Brown</t>
  </si>
  <si>
    <t>WirelessFaultIndicators</t>
  </si>
  <si>
    <t>Hotline Clamps</t>
  </si>
  <si>
    <t>Jason Hom</t>
  </si>
  <si>
    <t>HotLineClamps</t>
  </si>
  <si>
    <t>Expulsion Fuse Replacement</t>
  </si>
  <si>
    <t>ExpulsionFuseReplacement</t>
  </si>
  <si>
    <t>Infrastructure Protection Teams</t>
  </si>
  <si>
    <t>Richie Viehl</t>
  </si>
  <si>
    <t>InfrastructureProtectionTeams</t>
  </si>
  <si>
    <t>where did tier cost breakdown come from? not adding up</t>
  </si>
  <si>
    <t>Distribution Underbuilt</t>
  </si>
  <si>
    <t>John Baranowski</t>
  </si>
  <si>
    <t>Myles Still</t>
  </si>
  <si>
    <t>Jennifer Ebner</t>
  </si>
  <si>
    <t>DistributionUnderbuilt</t>
  </si>
  <si>
    <t>Pole Brushing</t>
  </si>
  <si>
    <t>Jimmie Webb</t>
  </si>
  <si>
    <t>Landy Cui</t>
  </si>
  <si>
    <t>PoleBrushing</t>
  </si>
  <si>
    <t xml:space="preserve">Advanced Protection </t>
  </si>
  <si>
    <t>Chris Bolton</t>
  </si>
  <si>
    <t>Kenneth Fridley</t>
  </si>
  <si>
    <t>Sergio Castro-Flores</t>
  </si>
  <si>
    <t>AdvancedProtection</t>
  </si>
  <si>
    <t>Detailed Inspections of Vegetation</t>
  </si>
  <si>
    <t>Mike Daleo</t>
  </si>
  <si>
    <t>Don Akau</t>
  </si>
  <si>
    <t>Detailed inspections of vegetat</t>
  </si>
  <si>
    <t>Enhanced Vegetation</t>
  </si>
  <si>
    <t>EnhancedVegetationManagement</t>
  </si>
  <si>
    <t>Fuel Management Slash Program</t>
  </si>
  <si>
    <t>Need PM to breakdown cost by tier</t>
  </si>
  <si>
    <t>Distribution Drone</t>
  </si>
  <si>
    <t>Jennifer Kaminsky</t>
  </si>
  <si>
    <t>Jennifer Hampson</t>
  </si>
  <si>
    <t>Kris Bourbois</t>
  </si>
  <si>
    <t>DSI_DroneInspections</t>
  </si>
  <si>
    <t xml:space="preserve">Distribution CMP 10 yr Intrusive </t>
  </si>
  <si>
    <t>DSI_CMP_10yrIntrusive</t>
  </si>
  <si>
    <t>Distribution Annual Patrol</t>
  </si>
  <si>
    <t>DSI_CMP_AnnualPatrol</t>
  </si>
  <si>
    <t>Distribution Tier 3 HFTD QAQC Inspections</t>
  </si>
  <si>
    <t>DSI_HFTD_QAQC_Tier3</t>
  </si>
  <si>
    <t xml:space="preserve">Distribution CMP 5 year </t>
  </si>
  <si>
    <t>DSI_CMP_5yr</t>
  </si>
  <si>
    <t>DSI_Infrared_Corona</t>
  </si>
  <si>
    <t>Standby Power Programs</t>
  </si>
  <si>
    <t>Clark Beyer</t>
  </si>
  <si>
    <t>Kimberly Siebenthal</t>
  </si>
  <si>
    <t>StandbyPowerPrograms</t>
  </si>
  <si>
    <t>GS: no capital cost needed</t>
  </si>
  <si>
    <t>Jon Kochik</t>
  </si>
  <si>
    <t>Cindy Smith</t>
  </si>
  <si>
    <t>GeneratorGrantProgram</t>
  </si>
  <si>
    <t>GeneratorAssistanceProgram</t>
  </si>
  <si>
    <t>Microgrids</t>
  </si>
  <si>
    <t>Don Balfour</t>
  </si>
  <si>
    <t>ResilienceProgram_Microgrids</t>
  </si>
  <si>
    <t>Kirsten Petersen</t>
  </si>
  <si>
    <t>Strategic Undergrounding</t>
  </si>
  <si>
    <t>Lynette Aquino</t>
  </si>
  <si>
    <t>Mark Alfaro</t>
  </si>
  <si>
    <t>Gloria Sanchez</t>
  </si>
  <si>
    <t>Ready for prelim RSE</t>
  </si>
  <si>
    <t>Covered Conductor</t>
  </si>
  <si>
    <t>Willie Thomas</t>
  </si>
  <si>
    <t>Sam Adams</t>
  </si>
  <si>
    <t>Traditional OH Hardening</t>
  </si>
  <si>
    <t>Traditional_Hardening</t>
  </si>
  <si>
    <t>Transmission OH Hardening</t>
  </si>
  <si>
    <t>TransmisOHhardening</t>
  </si>
  <si>
    <t>What's the difference between this one and distribution underbuilt? [AC]</t>
  </si>
  <si>
    <t>Transmission UG Hardening</t>
  </si>
  <si>
    <t>TransmissionUGhardening</t>
  </si>
  <si>
    <t>Transmission Detailed inspections</t>
  </si>
  <si>
    <t>Kevin Galloway</t>
  </si>
  <si>
    <t>Monica Curry</t>
  </si>
  <si>
    <t>TransmissionDetailed</t>
  </si>
  <si>
    <t>Transmission Patrols</t>
  </si>
  <si>
    <t>TransmissionPatrols</t>
  </si>
  <si>
    <t>No capital $ in table 12</t>
  </si>
  <si>
    <t xml:space="preserve">Transmission Infrared </t>
  </si>
  <si>
    <t>TransmissionInfrared</t>
  </si>
  <si>
    <t>Transmission Aerial 69kVI</t>
  </si>
  <si>
    <t>AddTransAerial69kVI</t>
  </si>
  <si>
    <t>Transmission Drone</t>
  </si>
  <si>
    <t>DroneAssessmentTransmission</t>
  </si>
  <si>
    <t>Transmission CNF Hardening</t>
  </si>
  <si>
    <t>Tim Knowd</t>
  </si>
  <si>
    <t>CNFTranmissionHardening</t>
  </si>
  <si>
    <t>No previous break-out in table 12 of 2021....</t>
  </si>
  <si>
    <t>Distribution CNF UG Hardening</t>
  </si>
  <si>
    <t>CNFHardening-UG</t>
  </si>
  <si>
    <t>Distribution CNF OH Hardening</t>
  </si>
  <si>
    <t>CNFHardening-OH</t>
  </si>
  <si>
    <t>Need to confirm no capital costs in 2022 and 2023 (environmental? road work?)</t>
  </si>
  <si>
    <t xml:space="preserve">Circuit Ownership </t>
  </si>
  <si>
    <t>Nicole Bavard</t>
  </si>
  <si>
    <t>Kevin Roll</t>
  </si>
  <si>
    <t>SG confirmed no RSE</t>
  </si>
  <si>
    <t>DSI_CircuitOwnership - No RSE</t>
  </si>
  <si>
    <t>Aviation Firefighting Program</t>
  </si>
  <si>
    <t>Jesse Thrush</t>
  </si>
  <si>
    <t>AviationFirefightingProg</t>
  </si>
  <si>
    <t>Recloser Protocols</t>
  </si>
  <si>
    <t>Shaun Gahagan</t>
  </si>
  <si>
    <t>Minal</t>
  </si>
  <si>
    <t>ReclosureProtocols</t>
  </si>
  <si>
    <t>Protection Settings</t>
  </si>
  <si>
    <t>ProtectionSettings</t>
  </si>
  <si>
    <t>Other Special Work Procedures</t>
  </si>
  <si>
    <t>OtherSpecialWorkProcedures</t>
  </si>
  <si>
    <t xml:space="preserve">PSPS Events and Mitigation of PSPS Impacts </t>
  </si>
  <si>
    <t xml:space="preserve">Katie Mauer </t>
  </si>
  <si>
    <t>PSPSEventsandMitigationImpacts</t>
  </si>
  <si>
    <t>unable to verify initiatve number of capital $ [AC]</t>
  </si>
  <si>
    <t>Avian Protection</t>
  </si>
  <si>
    <t>Alexander Pulido</t>
  </si>
  <si>
    <t>7.3.3.16</t>
  </si>
  <si>
    <t>SDG&amp;E-Risk-1-C16/M11-T1</t>
  </si>
  <si>
    <t>Subject Matter Expert:</t>
  </si>
  <si>
    <t>Fault Rate Before Hardedning</t>
  </si>
  <si>
    <t>Fault Rate After Hardening</t>
  </si>
  <si>
    <t>Total Faults HFTD</t>
  </si>
  <si>
    <t>Historical 5-yr Average Faults HFTD</t>
  </si>
  <si>
    <t>Historical Underground Ignitions</t>
  </si>
  <si>
    <t>Historical Ignitions</t>
  </si>
  <si>
    <t>2021 units</t>
  </si>
  <si>
    <t>2021 Capital cost</t>
  </si>
  <si>
    <t>2022 units</t>
  </si>
  <si>
    <t>2022 Capital Cost</t>
  </si>
  <si>
    <t>To be replaced/Forecast</t>
  </si>
  <si>
    <t>Ignitions Avoided Forecast</t>
  </si>
  <si>
    <t>Data in GREEN above should derive to the values in YELLOW below</t>
  </si>
  <si>
    <t>OR SME direct input</t>
  </si>
  <si>
    <t>Risk Spend Efficiency</t>
  </si>
  <si>
    <t>7.3.3.10</t>
  </si>
  <si>
    <t>SDG&amp;E-Risk-1-C12/M7-T1/M7-T2</t>
  </si>
  <si>
    <t>Emily France</t>
  </si>
  <si>
    <t>Wire downs associated with connection failures</t>
  </si>
  <si>
    <t>Ignition Rate</t>
  </si>
  <si>
    <t>HLC</t>
  </si>
  <si>
    <t>2020 HLC actuals</t>
  </si>
  <si>
    <t>2021 HLC Actuals</t>
  </si>
  <si>
    <t>2022 HLC to be installed</t>
  </si>
  <si>
    <t>Ratio 2020</t>
  </si>
  <si>
    <t>Ignition reduced 2020 from data</t>
  </si>
  <si>
    <t>Ignition reduced 2021 from data</t>
  </si>
  <si>
    <t>Ignition reduced 2022 from data</t>
  </si>
  <si>
    <t>%Change in Wildfire LoRE</t>
  </si>
  <si>
    <t>Ignitions reduced 2020</t>
  </si>
  <si>
    <t>Ignitions reduced in 2021</t>
  </si>
  <si>
    <t>Ignitions reduced in 2022</t>
  </si>
  <si>
    <t xml:space="preserve">2020 O&amp;M cost </t>
  </si>
  <si>
    <t>2020 Capital Cost per Unit($)</t>
  </si>
  <si>
    <t xml:space="preserve">2021 O&amp;M cost </t>
  </si>
  <si>
    <t>2021 Capital Cost per Unit($)</t>
  </si>
  <si>
    <t xml:space="preserve">2022 O&amp;M cost </t>
  </si>
  <si>
    <t>2022 Capital Cost per Unit($)</t>
  </si>
  <si>
    <t>Total Cost 2021 (k$)</t>
  </si>
  <si>
    <t>Lifetime Benefit</t>
  </si>
  <si>
    <t>Target Projections for 2023 - Use in Table 12 WMP</t>
  </si>
  <si>
    <t xml:space="preserve">Source </t>
  </si>
  <si>
    <t>Master Input</t>
  </si>
  <si>
    <t xml:space="preserve">SME </t>
  </si>
  <si>
    <t>2023 projections do not need to be broken down by Tier</t>
  </si>
  <si>
    <t xml:space="preserve">Notes </t>
  </si>
  <si>
    <t>Total Cost (m$)</t>
  </si>
  <si>
    <t xml:space="preserve">WF Risk Reduction </t>
  </si>
  <si>
    <t xml:space="preserve">Risk Reduction  </t>
  </si>
  <si>
    <t xml:space="preserve">Discounted Time  </t>
  </si>
  <si>
    <t xml:space="preserve">RSE  </t>
  </si>
  <si>
    <t>PSPS Risk reduced</t>
  </si>
  <si>
    <t xml:space="preserve">7.3.3.11.1
</t>
  </si>
  <si>
    <t>SDG&amp;E-Risk-1-C13/M8-T1</t>
  </si>
  <si>
    <t xml:space="preserve">Customer Resiliency Programs  </t>
  </si>
  <si>
    <t>Residential/Industrial/Commercial</t>
  </si>
  <si>
    <t>Medical Baseline</t>
  </si>
  <si>
    <t>Total by region</t>
  </si>
  <si>
    <t>Extent of PSPS mitigation</t>
  </si>
  <si>
    <t>Total Cost</t>
  </si>
  <si>
    <t>Total Faults HFTD calculated</t>
  </si>
  <si>
    <t>UG Ignition Rate</t>
  </si>
  <si>
    <t>Ignitions before</t>
  </si>
  <si>
    <t xml:space="preserve">Ignitions after </t>
  </si>
  <si>
    <t>Ignitions reduced</t>
  </si>
  <si>
    <t>2022 Strategic Undergrounding miles mitigated / units</t>
  </si>
  <si>
    <t>2023 Strategic Undergrounding miles mitigated / units</t>
  </si>
  <si>
    <t>2024 Strategic Undergrounding forecast miles mitigated / units</t>
  </si>
  <si>
    <t>2022 O&amp;M  Cost ($M)</t>
  </si>
  <si>
    <t>2024 O&amp;M cost ($M)</t>
  </si>
  <si>
    <t>Ignitions Avoided 2022</t>
  </si>
  <si>
    <t>Ignitions Avoided 2023</t>
  </si>
  <si>
    <t>Ignitions Avoided 2024</t>
  </si>
  <si>
    <t>Lifetime benefit (years)</t>
  </si>
  <si>
    <t>SME (Ignition database 2015-2019)</t>
  </si>
  <si>
    <t xml:space="preserve"> Ignition Rate Database (Master Inputs</t>
  </si>
  <si>
    <t>'Calculated</t>
  </si>
  <si>
    <t>O&amp;M Spend (M$)</t>
  </si>
  <si>
    <t>Capex Spend ($M)</t>
  </si>
  <si>
    <t>RSE (per million $)</t>
  </si>
  <si>
    <t>2022 Residential/Industrial/Commercial</t>
  </si>
  <si>
    <t>2022 Medical Baseline</t>
  </si>
  <si>
    <t>2023 Residential/Industrial/Commercial</t>
  </si>
  <si>
    <t>Extent of PSPS mitigation/Effectiveness</t>
  </si>
  <si>
    <t>Projected 2024 O&amp;M Cost ($M)</t>
  </si>
  <si>
    <t>Projected 2024 Capital Cost ($M)</t>
  </si>
  <si>
    <t>O&amp;M cost (m$)</t>
  </si>
  <si>
    <t>Capital Cost (m$)</t>
  </si>
  <si>
    <t>PSPS riskreduced</t>
  </si>
  <si>
    <t>Total RSE (per million $)</t>
  </si>
  <si>
    <t>Tier 2 (%)</t>
  </si>
  <si>
    <t>Tier 3 (%)</t>
  </si>
  <si>
    <t>Ratios</t>
  </si>
  <si>
    <t>sum</t>
  </si>
  <si>
    <t>resi</t>
  </si>
  <si>
    <t>essential</t>
  </si>
  <si>
    <t>urgent</t>
  </si>
  <si>
    <t>medical</t>
  </si>
  <si>
    <t>7.3.4.1</t>
  </si>
  <si>
    <t>SDG&amp;E-Risk-1-C7/M2-T1</t>
  </si>
  <si>
    <t>Fault Rate Before hardening</t>
  </si>
  <si>
    <t>Average Faults HFTD</t>
  </si>
  <si>
    <t>Faults after hardening Covered Conductor</t>
  </si>
  <si>
    <t xml:space="preserve">Ignition Rate </t>
  </si>
  <si>
    <t>Ignitions Before</t>
  </si>
  <si>
    <t>Ignitions after</t>
  </si>
  <si>
    <t>Ignitions Reduced</t>
  </si>
  <si>
    <t>2022 miles mitigated</t>
  </si>
  <si>
    <t>Ignitions reduced 2022</t>
  </si>
  <si>
    <t>2023 miles mitigated</t>
  </si>
  <si>
    <t>Ignitions reduced 2023</t>
  </si>
  <si>
    <t>2024 miles mitigated</t>
  </si>
  <si>
    <t>Ignition Reduced 2024</t>
  </si>
  <si>
    <t>2022 O&amp;M cost ($M)</t>
  </si>
  <si>
    <t>2023 O&amp;M cost ($M)</t>
  </si>
  <si>
    <t>Projected 2024 O &amp;M Cost ($M)</t>
  </si>
  <si>
    <t>Ignition Team</t>
  </si>
  <si>
    <t>IgnitionTeam</t>
  </si>
  <si>
    <t>O&amp;M Spend (m$)</t>
  </si>
  <si>
    <t>Capex Spend (m$)</t>
  </si>
  <si>
    <t>2020 Residential/Industrial/Commercial</t>
  </si>
  <si>
    <t>2020 Essential</t>
  </si>
  <si>
    <t>2020 Urgent</t>
  </si>
  <si>
    <t>2020 Medical Baseline</t>
  </si>
  <si>
    <t>2021 Residential/Industrial/Commercial</t>
  </si>
  <si>
    <t>2021 Essential</t>
  </si>
  <si>
    <t>2021 Urgent</t>
  </si>
  <si>
    <t>2021 Medical Baseline</t>
  </si>
  <si>
    <t>2020 O&amp;M cost ($M)</t>
  </si>
  <si>
    <t>2020 Capital Cost ($M)</t>
  </si>
  <si>
    <t>2021 O&amp;M cost ($M)</t>
  </si>
  <si>
    <t>2021 Capital Cost ($M)</t>
  </si>
  <si>
    <t>Projected 2022 O &amp;M Cost ($M)</t>
  </si>
  <si>
    <t>Projected 2022 Capital Cost ($M)</t>
  </si>
  <si>
    <t>Total cost ($M)</t>
  </si>
  <si>
    <t>Notes from SME</t>
  </si>
  <si>
    <t>O&amp;M Spend ($M)</t>
  </si>
  <si>
    <t xml:space="preserve">PSPS Risk Reduction </t>
  </si>
  <si>
    <t>7.3.3.7</t>
  </si>
  <si>
    <t>SDG&amp;E-Risk-1-C8/M3-T2</t>
  </si>
  <si>
    <t>when talking to hugo about data, check timeframe for GIS business services data update see if includes work all the way through present day (could have some discrepency with true total number)</t>
  </si>
  <si>
    <t>Expulsion Fuses</t>
  </si>
  <si>
    <t>Average Ignitions rate</t>
  </si>
  <si>
    <t>Pre mitigation Ignition Rate</t>
  </si>
  <si>
    <t>Number of Total Fuses Installed</t>
  </si>
  <si>
    <t>Hardened prior to 2020</t>
  </si>
  <si>
    <t>Remaining Harden 2020</t>
  </si>
  <si>
    <t xml:space="preserve">2022 actuals Fuses Installed </t>
  </si>
  <si>
    <t xml:space="preserve">2023 actuals Fuses Installed </t>
  </si>
  <si>
    <t xml:space="preserve">2024 actuals Fuses to be Installed </t>
  </si>
  <si>
    <t>Ignition Reduction 2020</t>
  </si>
  <si>
    <t>Ignition Reduction 2021</t>
  </si>
  <si>
    <t>Ignition Reduction 2022</t>
  </si>
  <si>
    <t>O&amp;M Cost 2020 ($M)</t>
  </si>
  <si>
    <t>Capital Cost 2020 ($M)</t>
  </si>
  <si>
    <t>O&amp;M Cost 2021 ($M)</t>
  </si>
  <si>
    <t>Capital Cost 2021 ($M)</t>
  </si>
  <si>
    <t>O&amp;M Cost 2022 ($M)</t>
  </si>
  <si>
    <t>Capital Cost 2022 ($M)</t>
  </si>
  <si>
    <t>Lifetime Benefit (years)</t>
  </si>
  <si>
    <t>Target UNIT Projections for 2023 - Use in Table 12 WMP</t>
  </si>
  <si>
    <t>Minal - check the anology move from 0.4 to 0</t>
  </si>
  <si>
    <t>consult Chris Brown, GS to ask Hugo to put in GIS business services request</t>
  </si>
  <si>
    <t>no updates</t>
  </si>
  <si>
    <t>validate with Summer Zhou</t>
  </si>
  <si>
    <t>consult Summer and Chris Brown for estimates</t>
  </si>
  <si>
    <t>Kris Bourbois provided total, PM/SME to breakdown by Tier</t>
  </si>
  <si>
    <r>
      <t xml:space="preserve">Luke Kristensen to provide total cost, </t>
    </r>
    <r>
      <rPr>
        <b/>
        <sz val="11"/>
        <color rgb="FFFF0000"/>
        <rFont val="Calibri"/>
        <family val="2"/>
        <scheme val="minor"/>
      </rPr>
      <t>PM/SME to breakdown by Tier</t>
    </r>
  </si>
  <si>
    <t>consult Chris Brown</t>
  </si>
  <si>
    <t>consult Chris Brown for estimates</t>
  </si>
  <si>
    <t>no work planned for 2023</t>
  </si>
  <si>
    <t>RSE  
(per million)</t>
  </si>
  <si>
    <t>Note: the total of 2019-2022 fuses intallations do not equals 11141 is because some of the fuses got descoped due to various reasons or completed by other programs (FiRM/PRiME/SUG, etc)</t>
  </si>
  <si>
    <t>1. Fixed Capacitor – will be replaced under Capacitor budget</t>
  </si>
  <si>
    <t>2. Solid Blades/Bridged Fuse, they will be removed when rebuilding circuit and pole.</t>
  </si>
  <si>
    <t xml:space="preserve">3. Current Limiting Fuse – Cal fire exempt </t>
  </si>
  <si>
    <t>4. Energy Limiting Fuse - Cal fire exempt</t>
  </si>
  <si>
    <t>5. Switched Capacitor – will be replaced under Capacitor budget</t>
  </si>
  <si>
    <t>6. No fusing on the pole</t>
  </si>
  <si>
    <t xml:space="preserve">7. Pole is no longer exist. </t>
  </si>
  <si>
    <t>8. Fuse idle</t>
  </si>
  <si>
    <t>9. Pole will be removed by other program in the near future</t>
  </si>
  <si>
    <t>7.3.3.17.3</t>
  </si>
  <si>
    <t>CNF Fire Hardening - OverHead OH</t>
  </si>
  <si>
    <t>All costs in 2020 and 2021 were in Tier 3</t>
  </si>
  <si>
    <t>Extrapolated Before Hardening (Faults per 100 miles)</t>
  </si>
  <si>
    <t>Extrapolated after hardening Traditional</t>
  </si>
  <si>
    <t>2020 miles mitigated</t>
  </si>
  <si>
    <t>2021 miles mitigated</t>
  </si>
  <si>
    <t>Ignitions reduced 2021</t>
  </si>
  <si>
    <t xml:space="preserve">2022 forecast of miles mitigation </t>
  </si>
  <si>
    <t>Ignition Reduced 2022</t>
  </si>
  <si>
    <t>Target CAPITAL Projections for 2023 - Use in Table 12 WMP</t>
  </si>
  <si>
    <t>Target O&amp;M Projections for 2023 - Use in Table 12 WMP</t>
  </si>
  <si>
    <t xml:space="preserve"> Ignition Team</t>
  </si>
  <si>
    <t>Luke and PM to confirm</t>
  </si>
  <si>
    <t>Kris provided total, PM to confirm</t>
  </si>
  <si>
    <t>KB: CNFHardening O&amp;M costs are embedded within Traditional Hardening totals</t>
  </si>
  <si>
    <t>RSE  per million</t>
  </si>
  <si>
    <t>7.3.6.6</t>
  </si>
  <si>
    <t>SDG&amp;E-Risk-1-C37-T1/C37-T2</t>
  </si>
  <si>
    <t>PSPS events and mitigation of PSPS impacts</t>
  </si>
  <si>
    <t>40% used for WMP previous to breaking out by tier</t>
  </si>
  <si>
    <t>possible differention due to keeping weighted average of 40% for service territory</t>
  </si>
  <si>
    <t>GS/Katie update 1/20: ~47% Tier 3, ~53% Tier 2 breakdown following same as RAMP</t>
  </si>
  <si>
    <t>Katie Mauer</t>
  </si>
  <si>
    <t>Mitigation Effectiveness</t>
  </si>
  <si>
    <t>Notes From SME</t>
  </si>
  <si>
    <t>Kris and PM to confirm</t>
  </si>
  <si>
    <t>Kris &amp; Luke - these costs will include: Communication Practices
Emergency Management
Protocols for PSPS renergization</t>
  </si>
  <si>
    <t>KB: Total costs for multiple mitigations (Emergency Management, Emerg Mgt PSPS, Communication Practices, PSPS Communications, and Community Outreach &amp; Public Awareness)</t>
  </si>
  <si>
    <t>Pre-LoRE</t>
  </si>
  <si>
    <t>Pre-CORE</t>
  </si>
  <si>
    <t>WF Risk Reduction</t>
  </si>
  <si>
    <t>Discount Time</t>
  </si>
  <si>
    <t>RSE per million</t>
  </si>
  <si>
    <t>Total cost</t>
  </si>
  <si>
    <t>7.3.6.1.1</t>
  </si>
  <si>
    <t>Reclosure Protocols</t>
  </si>
  <si>
    <t xml:space="preserve">Minla </t>
  </si>
  <si>
    <t>Estimated Faults avoided</t>
  </si>
  <si>
    <t xml:space="preserve">Confirmed with Shaun to use 2021 WMP </t>
  </si>
  <si>
    <t>Confirmed with Shaun to use 2021 WMP</t>
  </si>
  <si>
    <t>No capital costs in Table 12 of 2021 filing [AC]</t>
  </si>
  <si>
    <t>%Change in LoRE</t>
  </si>
  <si>
    <t>7.3.6.1.2</t>
  </si>
  <si>
    <t>Sensitive/Fast Protection settings</t>
  </si>
  <si>
    <t>Faults Isolated by fuses</t>
  </si>
  <si>
    <t>Faults isolated by Profile 3 enabled device</t>
  </si>
  <si>
    <t>Extreme Ignition Rate</t>
  </si>
  <si>
    <t xml:space="preserve">Total Faults </t>
  </si>
  <si>
    <t>No costs previously filed in 2021 Table 12 [AC]</t>
  </si>
  <si>
    <t>Original GRC 2024</t>
  </si>
  <si>
    <t>Revised GRC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</si>
</sst>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6" formatCode="&quot;$&quot;#,##0_);[Red]\(&quot;$&quot;#,##0\)"/>
    <numFmt numFmtId="8" formatCode="&quot;$&quot;#,##0.00_);[Red]\(&quot;$&quot;#,##0.00\)"/>
    <numFmt numFmtId="44" formatCode="_(&quot;$&quot;* #,##0.00_);_(&quot;$&quot;* \(#,##0.00\);_(&quot;$&quot;* &quot;-&quot;??_);_(@_)"/>
    <numFmt numFmtId="43" formatCode="_(* #,##0.00_);_(* \(#,##0.00\);_(* &quot;-&quot;??_);_(@_)"/>
    <numFmt numFmtId="164" formatCode="_-* #,##0.00_-;\-* #,##0.00_-;_-* &quot;-&quot;??_-;_-@_-"/>
    <numFmt numFmtId="165" formatCode="#,##0.0000"/>
    <numFmt numFmtId="166" formatCode="0.0%"/>
    <numFmt numFmtId="167" formatCode="0.000"/>
    <numFmt numFmtId="168" formatCode="0.0000"/>
    <numFmt numFmtId="169" formatCode="0.000%"/>
    <numFmt numFmtId="170" formatCode="_-[$$-409]* #,##0.00_ ;_-[$$-409]* \-#,##0.00\ ;_-[$$-409]* &quot;-&quot;??_ ;_-@_ "/>
    <numFmt numFmtId="171" formatCode="&quot;$&quot;#,##0.000_);[Red]\(&quot;$&quot;#,##0.000\)"/>
    <numFmt numFmtId="172" formatCode="_-[$$-409]* #,##0.000_ ;_-[$$-409]* \-#,##0.000\ ;_-[$$-409]* &quot;-&quot;??_ ;_-@_ "/>
    <numFmt numFmtId="173" formatCode="0.000000000"/>
    <numFmt numFmtId="174" formatCode="0.00000"/>
    <numFmt numFmtId="175" formatCode="&quot;$&quot;#,##0.0000_);[Red]\(&quot;$&quot;#,##0.0000\)"/>
    <numFmt numFmtId="176" formatCode="[$$-409]#,##0.000_);\([$$-409]#,##0.000\)"/>
    <numFmt numFmtId="177" formatCode="0.000000"/>
    <numFmt numFmtId="178" formatCode="0.0"/>
    <numFmt numFmtId="179" formatCode="&quot;$&quot;#,##0.00000_);[Red]\(&quot;$&quot;#,##0.00000\)"/>
    <numFmt numFmtId="180" formatCode="_([$$-409]* #,##0.00_);_([$$-409]* \(#,##0.00\);_([$$-409]* &quot;-&quot;??_);_(@_)"/>
    <numFmt numFmtId="181" formatCode="_(* #,##0.000_);_(* \(#,##0.000\);_(* &quot;-&quot;??_);_(@_)"/>
    <numFmt numFmtId="182" formatCode="_([$$-409]* #,##0.000_);_([$$-409]* \(#,##0.000\);_([$$-409]* &quot;-&quot;???_);_(@_)"/>
    <numFmt numFmtId="183" formatCode="#,##0.000"/>
    <numFmt numFmtId="184" formatCode="_(&quot;$&quot;* #,##0_);_(&quot;$&quot;* \(#,##0\);_(&quot;$&quot;* &quot;-&quot;??_);_(@_)"/>
    <numFmt numFmtId="185" formatCode="#,##0.0"/>
    <numFmt numFmtId="186" formatCode="_(* #,##0_);_(* \(#,##0\);_(* &quot;-&quot;??_);_(@_)"/>
    <numFmt numFmtId="187" formatCode="_([$$-409]* #,##0.0_);_([$$-409]* \(#,##0.0\);_([$$-409]* &quot;-&quot;??_);_(@_)"/>
    <numFmt numFmtId="188" formatCode="_(* #,##0.00000_);_(* \(#,##0.00000\);_(* &quot;-&quot;?????_);_(@_)"/>
    <numFmt numFmtId="189" formatCode="[$-409]mmmm\ d\,\ yyyy;@"/>
  </numFmts>
  <fonts count="57"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rgb="FFFF0000"/>
      <name val="Calibri"/>
      <family val="2"/>
      <charset val="238"/>
      <scheme val="minor"/>
    </font>
    <font>
      <b/>
      <i/>
      <sz val="11"/>
      <color theme="1"/>
      <name val="Calibri"/>
      <family val="2"/>
      <scheme val="minor"/>
    </font>
    <font>
      <sz val="11"/>
      <color rgb="FF000000"/>
      <name val="Calibri"/>
      <family val="2"/>
    </font>
    <font>
      <sz val="12"/>
      <color rgb="FF000000"/>
      <name val="Times New Roman"/>
      <family val="1"/>
    </font>
    <font>
      <u/>
      <sz val="11"/>
      <color theme="10"/>
      <name val="Calibri"/>
      <family val="2"/>
      <scheme val="minor"/>
    </font>
    <font>
      <sz val="12"/>
      <color rgb="FF000000"/>
      <name val="Calibri"/>
      <family val="2"/>
    </font>
    <font>
      <sz val="12"/>
      <color rgb="FF000000"/>
      <name val="Calibri"/>
      <family val="2"/>
      <scheme val="minor"/>
    </font>
    <font>
      <b/>
      <sz val="11"/>
      <color rgb="FF141414"/>
      <name val="Calibri"/>
      <family val="2"/>
    </font>
    <font>
      <sz val="11"/>
      <color rgb="FF141414"/>
      <name val="Calibri"/>
      <family val="2"/>
    </font>
    <font>
      <sz val="11"/>
      <color theme="1"/>
      <name val="Calibri"/>
      <family val="2"/>
      <charset val="238"/>
      <scheme val="minor"/>
    </font>
    <font>
      <b/>
      <sz val="11"/>
      <color rgb="FF000000"/>
      <name val="Calibri"/>
      <family val="2"/>
      <charset val="238"/>
      <scheme val="minor"/>
    </font>
    <font>
      <b/>
      <sz val="11"/>
      <color theme="1"/>
      <name val="Calibri"/>
      <family val="2"/>
      <charset val="238"/>
      <scheme val="minor"/>
    </font>
    <font>
      <sz val="11"/>
      <color rgb="FF000000"/>
      <name val="Calibri"/>
      <family val="2"/>
      <charset val="238"/>
      <scheme val="minor"/>
    </font>
    <font>
      <b/>
      <sz val="11"/>
      <color theme="0"/>
      <name val="Calibri"/>
      <family val="2"/>
      <scheme val="minor"/>
    </font>
    <font>
      <sz val="11"/>
      <color theme="0"/>
      <name val="Calibri"/>
      <family val="2"/>
      <charset val="238"/>
      <scheme val="minor"/>
    </font>
    <font>
      <b/>
      <sz val="11"/>
      <color theme="0"/>
      <name val="Calibri"/>
      <family val="2"/>
      <charset val="238"/>
      <scheme val="minor"/>
    </font>
    <font>
      <u/>
      <sz val="11"/>
      <color theme="10"/>
      <name val="Calibri"/>
      <family val="2"/>
      <charset val="238"/>
      <scheme val="minor"/>
    </font>
    <font>
      <sz val="11"/>
      <name val="Calibri"/>
      <family val="2"/>
      <scheme val="minor"/>
    </font>
    <font>
      <b/>
      <sz val="11"/>
      <color rgb="FF3F3F3F"/>
      <name val="Calibri"/>
      <family val="2"/>
      <scheme val="minor"/>
    </font>
    <font>
      <sz val="11"/>
      <color rgb="FFC00000"/>
      <name val="Calibri"/>
      <family val="2"/>
      <charset val="238"/>
      <scheme val="minor"/>
    </font>
    <font>
      <sz val="11"/>
      <color theme="4"/>
      <name val="Calibri"/>
      <family val="2"/>
      <charset val="238"/>
      <scheme val="minor"/>
    </font>
    <font>
      <i/>
      <sz val="11"/>
      <color theme="1"/>
      <name val="Calibri"/>
      <family val="2"/>
      <charset val="238"/>
      <scheme val="minor"/>
    </font>
    <font>
      <b/>
      <i/>
      <sz val="11"/>
      <color theme="1"/>
      <name val="Calibri"/>
      <family val="2"/>
      <charset val="238"/>
      <scheme val="minor"/>
    </font>
    <font>
      <sz val="11"/>
      <color rgb="FF444444"/>
      <name val="Calibri"/>
      <family val="2"/>
      <charset val="1"/>
    </font>
    <font>
      <sz val="9"/>
      <color indexed="81"/>
      <name val="Tahoma"/>
      <family val="2"/>
    </font>
    <font>
      <b/>
      <sz val="11"/>
      <name val="Calibri"/>
      <family val="2"/>
      <charset val="238"/>
      <scheme val="minor"/>
    </font>
    <font>
      <b/>
      <sz val="11"/>
      <color rgb="FFFFFFFF"/>
      <name val="Calibri"/>
      <family val="2"/>
    </font>
    <font>
      <sz val="11"/>
      <name val="Calibri"/>
      <family val="2"/>
    </font>
    <font>
      <sz val="10"/>
      <color theme="1"/>
      <name val="Calibri"/>
      <family val="2"/>
      <charset val="238"/>
      <scheme val="minor"/>
    </font>
    <font>
      <b/>
      <sz val="11"/>
      <name val="Calibri"/>
      <family val="2"/>
      <scheme val="minor"/>
    </font>
    <font>
      <b/>
      <sz val="11"/>
      <color rgb="FFFF0000"/>
      <name val="Calibri"/>
      <family val="2"/>
      <scheme val="minor"/>
    </font>
    <font>
      <sz val="11"/>
      <name val="Calibri"/>
      <family val="2"/>
      <charset val="238"/>
      <scheme val="minor"/>
    </font>
    <font>
      <b/>
      <sz val="11"/>
      <color rgb="FF000000"/>
      <name val="Calibri"/>
      <family val="2"/>
    </font>
    <font>
      <sz val="24"/>
      <color theme="1"/>
      <name val="Calibri"/>
      <family val="2"/>
      <charset val="238"/>
      <scheme val="minor"/>
    </font>
    <font>
      <b/>
      <sz val="9"/>
      <color indexed="81"/>
      <name val="Tahoma"/>
      <family val="2"/>
    </font>
    <font>
      <b/>
      <sz val="11"/>
      <color rgb="FFFF0000"/>
      <name val="Calibri"/>
      <family val="2"/>
      <charset val="238"/>
      <scheme val="minor"/>
    </font>
    <font>
      <sz val="10"/>
      <name val="Arial"/>
      <family val="2"/>
    </font>
    <font>
      <b/>
      <u/>
      <sz val="11"/>
      <color theme="1"/>
      <name val="Calibri"/>
      <family val="2"/>
      <scheme val="minor"/>
    </font>
    <font>
      <b/>
      <sz val="28"/>
      <color theme="1"/>
      <name val="Times New Roman"/>
      <family val="1"/>
    </font>
    <font>
      <b/>
      <i/>
      <sz val="11"/>
      <color rgb="FF000000"/>
      <name val="Calibri"/>
      <family val="2"/>
      <scheme val="minor"/>
    </font>
    <font>
      <sz val="12"/>
      <name val="Times New Roman"/>
      <family val="1"/>
    </font>
  </fonts>
  <fills count="42">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rgb="FFA5A5A5"/>
      </patternFill>
    </fill>
    <fill>
      <patternFill patternType="solid">
        <fgColor rgb="FF990099"/>
        <bgColor indexed="64"/>
      </patternFill>
    </fill>
    <fill>
      <patternFill patternType="solid">
        <fgColor rgb="FFBFBFBF"/>
        <bgColor indexed="64"/>
      </patternFill>
    </fill>
    <fill>
      <patternFill patternType="solid">
        <fgColor rgb="FFFFE699"/>
        <bgColor indexed="64"/>
      </patternFill>
    </fill>
    <fill>
      <patternFill patternType="solid">
        <fgColor rgb="FFC6E0B4"/>
        <bgColor indexed="64"/>
      </patternFill>
    </fill>
    <fill>
      <patternFill patternType="solid">
        <fgColor theme="0" tint="-0.34998626667073579"/>
        <bgColor indexed="64"/>
      </patternFill>
    </fill>
    <fill>
      <patternFill patternType="solid">
        <fgColor rgb="FFE7E6E6"/>
        <bgColor indexed="64"/>
      </patternFill>
    </fill>
    <fill>
      <patternFill patternType="solid">
        <fgColor rgb="FFF2F2F2"/>
      </patternFill>
    </fill>
    <fill>
      <patternFill patternType="solid">
        <fgColor theme="5" tint="0.39997558519241921"/>
        <bgColor indexed="64"/>
      </patternFill>
    </fill>
    <fill>
      <patternFill patternType="solid">
        <fgColor theme="8" tint="0.59999389629810485"/>
        <bgColor indexed="64"/>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7030A0"/>
        <bgColor indexed="64"/>
      </patternFill>
    </fill>
    <fill>
      <patternFill patternType="solid">
        <fgColor theme="4"/>
        <bgColor indexed="64"/>
      </patternFill>
    </fill>
    <fill>
      <patternFill patternType="solid">
        <fgColor rgb="FFFFC000"/>
        <bgColor indexed="64"/>
      </patternFill>
    </fill>
    <fill>
      <patternFill patternType="solid">
        <fgColor rgb="FF4472C4"/>
        <bgColor indexed="64"/>
      </patternFill>
    </fill>
    <fill>
      <patternFill patternType="solid">
        <fgColor theme="5"/>
        <bgColor indexed="64"/>
      </patternFill>
    </fill>
    <fill>
      <patternFill patternType="solid">
        <fgColor rgb="FFED7D31"/>
        <bgColor rgb="FF000000"/>
      </patternFill>
    </fill>
    <fill>
      <patternFill patternType="solid">
        <fgColor rgb="FFD9E1F2"/>
        <bgColor rgb="FF000000"/>
      </patternFill>
    </fill>
    <fill>
      <patternFill patternType="solid">
        <fgColor rgb="FFB4C6E7"/>
        <bgColor rgb="FF000000"/>
      </patternFill>
    </fill>
    <fill>
      <patternFill patternType="solid">
        <fgColor rgb="FFFF0000"/>
        <bgColor indexed="64"/>
      </patternFill>
    </fill>
    <fill>
      <patternFill patternType="solid">
        <fgColor rgb="FFD9D9D9"/>
        <bgColor indexed="64"/>
      </patternFill>
    </fill>
    <fill>
      <patternFill patternType="solid">
        <fgColor rgb="FF66FFFF"/>
        <bgColor indexed="64"/>
      </patternFill>
    </fill>
    <fill>
      <patternFill patternType="solid">
        <fgColor theme="7"/>
        <bgColor indexed="64"/>
      </patternFill>
    </fill>
    <fill>
      <patternFill patternType="solid">
        <fgColor theme="4" tint="0.59999389629810485"/>
        <bgColor indexed="64"/>
      </patternFill>
    </fill>
  </fills>
  <borders count="1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bottom/>
      <diagonal/>
    </border>
    <border>
      <left/>
      <right/>
      <top style="thick">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medium">
        <color indexed="64"/>
      </right>
      <top style="thin">
        <color indexed="64"/>
      </top>
      <bottom/>
      <diagonal/>
    </border>
    <border>
      <left/>
      <right style="medium">
        <color indexed="64"/>
      </right>
      <top/>
      <bottom/>
      <diagonal/>
    </border>
    <border>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DashDot">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DashDot">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DashDot">
        <color indexed="64"/>
      </left>
      <right/>
      <top/>
      <bottom/>
      <diagonal/>
    </border>
    <border>
      <left style="medium">
        <color indexed="64"/>
      </left>
      <right style="medium">
        <color indexed="64"/>
      </right>
      <top/>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rgb="FF000000"/>
      </right>
      <top style="thin">
        <color indexed="64"/>
      </top>
      <bottom style="double">
        <color indexed="64"/>
      </bottom>
      <diagonal/>
    </border>
    <border>
      <left style="thin">
        <color indexed="64"/>
      </left>
      <right style="thin">
        <color rgb="FF000000"/>
      </right>
      <top/>
      <bottom style="thin">
        <color indexed="64"/>
      </bottom>
      <diagonal/>
    </border>
    <border>
      <left style="medium">
        <color rgb="FF000000"/>
      </left>
      <right style="medium">
        <color indexed="64"/>
      </right>
      <top style="medium">
        <color rgb="FF000000"/>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rgb="FF000000"/>
      </bottom>
      <diagonal/>
    </border>
    <border>
      <left style="medium">
        <color rgb="FF000000"/>
      </left>
      <right/>
      <top style="thin">
        <color indexed="64"/>
      </top>
      <bottom style="thin">
        <color indexed="64"/>
      </bottom>
      <diagonal/>
    </border>
    <border>
      <left style="medium">
        <color rgb="FF000000"/>
      </left>
      <right style="medium">
        <color rgb="FF000000"/>
      </right>
      <top style="thin">
        <color indexed="64"/>
      </top>
      <bottom/>
      <diagonal/>
    </border>
    <border>
      <left style="medium">
        <color rgb="FF000000"/>
      </left>
      <right style="medium">
        <color rgb="FF000000"/>
      </right>
      <top/>
      <bottom style="thin">
        <color indexed="64"/>
      </bottom>
      <diagonal/>
    </border>
    <border>
      <left style="medium">
        <color rgb="FF000000"/>
      </left>
      <right style="medium">
        <color rgb="FF000000"/>
      </right>
      <top style="thin">
        <color indexed="64"/>
      </top>
      <bottom style="medium">
        <color indexed="64"/>
      </bottom>
      <diagonal/>
    </border>
    <border>
      <left style="medium">
        <color indexed="64"/>
      </left>
      <right/>
      <top style="medium">
        <color rgb="FF000000"/>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rgb="FF000000"/>
      </bottom>
      <diagonal/>
    </border>
    <border>
      <left/>
      <right/>
      <top style="medium">
        <color rgb="FF000000"/>
      </top>
      <bottom style="thin">
        <color indexed="64"/>
      </bottom>
      <diagonal/>
    </border>
    <border>
      <left/>
      <right/>
      <top style="thin">
        <color indexed="64"/>
      </top>
      <bottom style="medium">
        <color rgb="FF000000"/>
      </bottom>
      <diagonal/>
    </border>
    <border>
      <left style="medium">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rgb="FF000000"/>
      </right>
      <top style="medium">
        <color rgb="FF000000"/>
      </top>
      <bottom/>
      <diagonal/>
    </border>
    <border>
      <left style="thin">
        <color rgb="FF000000"/>
      </left>
      <right style="medium">
        <color indexed="64"/>
      </right>
      <top style="medium">
        <color rgb="FF000000"/>
      </top>
      <bottom style="thin">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medium">
        <color rgb="FF000000"/>
      </bottom>
      <diagonal/>
    </border>
    <border>
      <left style="thin">
        <color rgb="FF000000"/>
      </left>
      <right style="medium">
        <color indexed="64"/>
      </right>
      <top style="thin">
        <color rgb="FF000000"/>
      </top>
      <bottom style="medium">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rgb="FF000000"/>
      </left>
      <right/>
      <top/>
      <bottom style="thin">
        <color indexed="64"/>
      </bottom>
      <diagonal/>
    </border>
  </borders>
  <cellStyleXfs count="35">
    <xf numFmtId="0" fontId="0" fillId="0" borderId="0"/>
    <xf numFmtId="0" fontId="11" fillId="0" borderId="0"/>
    <xf numFmtId="9"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0" fontId="10" fillId="0" borderId="0"/>
    <xf numFmtId="0" fontId="20"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25" fillId="0" borderId="0" applyFont="0" applyFill="0" applyBorder="0" applyAlignment="0" applyProtection="0"/>
    <xf numFmtId="0" fontId="29" fillId="13" borderId="33" applyNumberFormat="0" applyAlignment="0" applyProtection="0"/>
    <xf numFmtId="0" fontId="9" fillId="0" borderId="0"/>
    <xf numFmtId="164" fontId="9"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34" fillId="20" borderId="45" applyNumberFormat="0" applyAlignment="0" applyProtection="0"/>
    <xf numFmtId="43" fontId="25" fillId="0" borderId="0" applyFont="0" applyFill="0" applyBorder="0" applyAlignment="0" applyProtection="0"/>
    <xf numFmtId="0" fontId="8" fillId="0" borderId="0"/>
    <xf numFmtId="0" fontId="7" fillId="0" borderId="0"/>
    <xf numFmtId="0" fontId="6" fillId="0" borderId="0"/>
    <xf numFmtId="9" fontId="6" fillId="0" borderId="0" applyFont="0" applyFill="0" applyBorder="0" applyAlignment="0" applyProtection="0"/>
    <xf numFmtId="44" fontId="6" fillId="0" borderId="0" applyFont="0" applyFill="0" applyBorder="0" applyAlignment="0" applyProtection="0"/>
    <xf numFmtId="164" fontId="6" fillId="0" borderId="0" applyFont="0" applyFill="0" applyBorder="0" applyAlignment="0" applyProtection="0"/>
    <xf numFmtId="0" fontId="5" fillId="0" borderId="0"/>
    <xf numFmtId="16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2" fillId="0" borderId="0"/>
    <xf numFmtId="0" fontId="5" fillId="0" borderId="0"/>
    <xf numFmtId="0" fontId="4" fillId="0" borderId="0"/>
    <xf numFmtId="44" fontId="4" fillId="0" borderId="0" applyFont="0" applyFill="0" applyBorder="0" applyAlignment="0" applyProtection="0"/>
    <xf numFmtId="9" fontId="4" fillId="0" borderId="0" applyFont="0" applyFill="0" applyBorder="0" applyAlignment="0" applyProtection="0"/>
    <xf numFmtId="0" fontId="3" fillId="0" borderId="0"/>
    <xf numFmtId="0" fontId="2" fillId="0" borderId="0"/>
    <xf numFmtId="44" fontId="25" fillId="0" borderId="0" applyFont="0" applyFill="0" applyBorder="0" applyAlignment="0" applyProtection="0"/>
  </cellStyleXfs>
  <cellXfs count="839">
    <xf numFmtId="0" fontId="0" fillId="0" borderId="0" xfId="0"/>
    <xf numFmtId="0" fontId="0" fillId="0" borderId="0" xfId="0" applyAlignment="1">
      <alignment wrapText="1"/>
    </xf>
    <xf numFmtId="0" fontId="14" fillId="0" borderId="0" xfId="0" applyFont="1" applyAlignment="1">
      <alignment vertical="center" wrapText="1"/>
    </xf>
    <xf numFmtId="9" fontId="0" fillId="0" borderId="0" xfId="0" applyNumberFormat="1" applyAlignment="1">
      <alignment wrapText="1"/>
    </xf>
    <xf numFmtId="0" fontId="16" fillId="0" borderId="0" xfId="0" applyFont="1"/>
    <xf numFmtId="0" fontId="16" fillId="0" borderId="0" xfId="0" applyFont="1" applyAlignment="1">
      <alignment wrapText="1"/>
    </xf>
    <xf numFmtId="0" fontId="14" fillId="7" borderId="18" xfId="0" applyFont="1" applyFill="1" applyBorder="1" applyAlignment="1">
      <alignment vertical="center" wrapText="1"/>
    </xf>
    <xf numFmtId="0" fontId="14" fillId="7" borderId="1" xfId="0" applyFont="1" applyFill="1" applyBorder="1" applyAlignment="1">
      <alignment horizontal="center" vertical="center" wrapText="1"/>
    </xf>
    <xf numFmtId="0" fontId="12" fillId="6" borderId="17" xfId="0" quotePrefix="1" applyFont="1" applyFill="1" applyBorder="1" applyAlignment="1">
      <alignment horizontal="center" vertical="center" wrapText="1"/>
    </xf>
    <xf numFmtId="0" fontId="0" fillId="7" borderId="1" xfId="0" applyFill="1" applyBorder="1" applyAlignment="1">
      <alignment horizontal="center" wrapText="1"/>
    </xf>
    <xf numFmtId="0" fontId="0" fillId="6" borderId="1" xfId="0" applyFill="1" applyBorder="1" applyAlignment="1">
      <alignment wrapText="1"/>
    </xf>
    <xf numFmtId="0" fontId="0" fillId="6" borderId="26" xfId="0" applyFill="1" applyBorder="1" applyAlignment="1">
      <alignment wrapText="1"/>
    </xf>
    <xf numFmtId="0" fontId="0" fillId="6" borderId="27" xfId="0" applyFill="1" applyBorder="1" applyAlignment="1">
      <alignment wrapText="1"/>
    </xf>
    <xf numFmtId="0" fontId="0" fillId="6" borderId="28" xfId="0" applyFill="1" applyBorder="1" applyAlignment="1">
      <alignment wrapText="1"/>
    </xf>
    <xf numFmtId="0" fontId="0" fillId="6" borderId="29" xfId="0" applyFill="1" applyBorder="1" applyAlignment="1">
      <alignment wrapText="1"/>
    </xf>
    <xf numFmtId="0" fontId="0" fillId="6" borderId="30" xfId="0" applyFill="1" applyBorder="1" applyAlignment="1">
      <alignment wrapText="1"/>
    </xf>
    <xf numFmtId="0" fontId="14" fillId="7" borderId="22" xfId="0" applyFont="1" applyFill="1" applyBorder="1" applyAlignment="1">
      <alignment vertical="center" wrapText="1"/>
    </xf>
    <xf numFmtId="0" fontId="0" fillId="0" borderId="22" xfId="0" applyBorder="1" applyAlignment="1">
      <alignment wrapText="1"/>
    </xf>
    <xf numFmtId="0" fontId="0" fillId="7" borderId="9" xfId="0" applyFill="1" applyBorder="1" applyAlignment="1">
      <alignment horizontal="center" wrapText="1"/>
    </xf>
    <xf numFmtId="0" fontId="0" fillId="9" borderId="9" xfId="0" applyFill="1" applyBorder="1" applyAlignment="1">
      <alignment wrapText="1"/>
    </xf>
    <xf numFmtId="0" fontId="0" fillId="9" borderId="1" xfId="0" applyFill="1" applyBorder="1" applyAlignment="1">
      <alignment wrapText="1"/>
    </xf>
    <xf numFmtId="10" fontId="0" fillId="9" borderId="1" xfId="0" applyNumberFormat="1" applyFill="1" applyBorder="1" applyAlignment="1">
      <alignment wrapText="1"/>
    </xf>
    <xf numFmtId="0" fontId="0" fillId="9" borderId="1" xfId="0" applyFill="1" applyBorder="1"/>
    <xf numFmtId="9" fontId="0" fillId="6" borderId="26" xfId="0" applyNumberFormat="1" applyFill="1" applyBorder="1" applyAlignment="1">
      <alignment horizontal="center" wrapText="1"/>
    </xf>
    <xf numFmtId="0" fontId="0" fillId="6" borderId="1" xfId="0" applyFill="1" applyBorder="1" applyAlignment="1">
      <alignment horizontal="center" wrapText="1"/>
    </xf>
    <xf numFmtId="0" fontId="0" fillId="6" borderId="27" xfId="0" applyFill="1" applyBorder="1" applyAlignment="1">
      <alignment horizontal="center" wrapText="1"/>
    </xf>
    <xf numFmtId="6" fontId="0" fillId="6" borderId="1" xfId="0" applyNumberFormat="1" applyFill="1" applyBorder="1" applyAlignment="1">
      <alignment horizontal="center" wrapText="1"/>
    </xf>
    <xf numFmtId="9" fontId="0" fillId="6" borderId="1" xfId="0" applyNumberFormat="1" applyFill="1" applyBorder="1" applyAlignment="1">
      <alignment horizontal="center" wrapText="1"/>
    </xf>
    <xf numFmtId="0" fontId="0" fillId="7" borderId="22" xfId="0" applyFill="1" applyBorder="1" applyAlignment="1">
      <alignment wrapText="1"/>
    </xf>
    <xf numFmtId="0" fontId="0" fillId="7" borderId="19" xfId="0" applyFill="1" applyBorder="1" applyAlignment="1">
      <alignment wrapText="1"/>
    </xf>
    <xf numFmtId="9" fontId="0" fillId="9" borderId="1" xfId="0" applyNumberFormat="1" applyFill="1" applyBorder="1" applyAlignment="1">
      <alignment wrapText="1"/>
    </xf>
    <xf numFmtId="2" fontId="0" fillId="9" borderId="1" xfId="0" applyNumberFormat="1" applyFill="1" applyBorder="1" applyAlignment="1">
      <alignment wrapText="1"/>
    </xf>
    <xf numFmtId="0" fontId="26" fillId="7" borderId="18" xfId="0" applyFont="1" applyFill="1" applyBorder="1" applyAlignment="1">
      <alignment vertical="center" wrapText="1"/>
    </xf>
    <xf numFmtId="0" fontId="26" fillId="7" borderId="1" xfId="0" applyFont="1" applyFill="1" applyBorder="1" applyAlignment="1">
      <alignment horizontal="center" vertical="center" wrapText="1"/>
    </xf>
    <xf numFmtId="0" fontId="27" fillId="7" borderId="1" xfId="0" applyFont="1" applyFill="1" applyBorder="1" applyAlignment="1">
      <alignment horizontal="center" wrapText="1"/>
    </xf>
    <xf numFmtId="0" fontId="27" fillId="8" borderId="1" xfId="0" applyFont="1" applyFill="1" applyBorder="1" applyAlignment="1">
      <alignment horizontal="center" vertical="center" wrapText="1"/>
    </xf>
    <xf numFmtId="0" fontId="26" fillId="0" borderId="0" xfId="0" applyFont="1" applyAlignment="1">
      <alignment vertical="center" wrapText="1"/>
    </xf>
    <xf numFmtId="0" fontId="26" fillId="7" borderId="22" xfId="0" applyFont="1" applyFill="1" applyBorder="1" applyAlignment="1">
      <alignment vertical="center" wrapText="1"/>
    </xf>
    <xf numFmtId="0" fontId="27" fillId="7" borderId="23" xfId="0" applyFont="1" applyFill="1" applyBorder="1" applyAlignment="1">
      <alignment horizontal="center" wrapText="1"/>
    </xf>
    <xf numFmtId="0" fontId="27" fillId="7" borderId="24" xfId="0" applyFont="1" applyFill="1" applyBorder="1" applyAlignment="1">
      <alignment horizontal="center" wrapText="1"/>
    </xf>
    <xf numFmtId="0" fontId="27" fillId="7" borderId="25" xfId="0" applyFont="1" applyFill="1" applyBorder="1" applyAlignment="1">
      <alignment horizontal="center" wrapText="1"/>
    </xf>
    <xf numFmtId="0" fontId="27" fillId="0" borderId="0" xfId="0" applyFont="1" applyAlignment="1">
      <alignment wrapText="1"/>
    </xf>
    <xf numFmtId="0" fontId="27" fillId="0" borderId="0" xfId="0" applyFont="1"/>
    <xf numFmtId="0" fontId="28" fillId="0" borderId="0" xfId="0" applyFont="1" applyAlignment="1">
      <alignment wrapText="1"/>
    </xf>
    <xf numFmtId="0" fontId="27" fillId="5" borderId="1" xfId="0" applyFont="1" applyFill="1" applyBorder="1" applyAlignment="1">
      <alignment horizontal="left" vertical="center" wrapText="1"/>
    </xf>
    <xf numFmtId="0" fontId="27" fillId="5" borderId="17" xfId="0" applyFont="1" applyFill="1" applyBorder="1" applyAlignment="1">
      <alignment horizontal="left" vertical="center" wrapText="1"/>
    </xf>
    <xf numFmtId="0" fontId="12" fillId="6"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0" fillId="6" borderId="27" xfId="0" applyFill="1" applyBorder="1" applyAlignment="1">
      <alignment horizontal="center" vertical="center" wrapText="1"/>
    </xf>
    <xf numFmtId="0" fontId="0" fillId="11" borderId="1" xfId="0" applyFill="1" applyBorder="1" applyAlignment="1">
      <alignment horizontal="center" wrapText="1"/>
    </xf>
    <xf numFmtId="0" fontId="29" fillId="14" borderId="17" xfId="0" quotePrefix="1" applyFont="1" applyFill="1" applyBorder="1" applyAlignment="1">
      <alignment horizontal="center" vertical="center" wrapText="1"/>
    </xf>
    <xf numFmtId="0" fontId="31" fillId="14" borderId="17" xfId="0" quotePrefix="1" applyFont="1" applyFill="1" applyBorder="1" applyAlignment="1">
      <alignment horizontal="center" vertical="center" wrapText="1"/>
    </xf>
    <xf numFmtId="0" fontId="30" fillId="14" borderId="35" xfId="0" applyFont="1" applyFill="1" applyBorder="1" applyAlignment="1">
      <alignment horizontal="center" wrapText="1"/>
    </xf>
    <xf numFmtId="0" fontId="27" fillId="7" borderId="34" xfId="0" applyFont="1" applyFill="1" applyBorder="1" applyAlignment="1">
      <alignment horizontal="center" wrapText="1"/>
    </xf>
    <xf numFmtId="0" fontId="0" fillId="15" borderId="35" xfId="0" applyFill="1" applyBorder="1" applyAlignment="1">
      <alignment wrapText="1"/>
    </xf>
    <xf numFmtId="0" fontId="20" fillId="0" borderId="0" xfId="6" applyAlignment="1">
      <alignment vertical="center" wrapText="1"/>
    </xf>
    <xf numFmtId="0" fontId="26" fillId="19" borderId="22" xfId="0" applyFont="1" applyFill="1" applyBorder="1" applyAlignment="1">
      <alignment vertical="center" wrapText="1"/>
    </xf>
    <xf numFmtId="0" fontId="27" fillId="0" borderId="0" xfId="0" applyFont="1" applyAlignment="1">
      <alignment horizontal="left"/>
    </xf>
    <xf numFmtId="167" fontId="27" fillId="8" borderId="1" xfId="0"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9" xfId="0" applyFill="1" applyBorder="1" applyAlignment="1">
      <alignment horizontal="center" vertical="center" wrapText="1"/>
    </xf>
    <xf numFmtId="0" fontId="27" fillId="7" borderId="34"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7" borderId="19" xfId="0" applyFill="1" applyBorder="1" applyAlignment="1">
      <alignment vertical="center" wrapText="1"/>
    </xf>
    <xf numFmtId="0" fontId="0" fillId="7" borderId="22" xfId="0" applyFill="1" applyBorder="1" applyAlignment="1">
      <alignment vertical="center" wrapText="1"/>
    </xf>
    <xf numFmtId="0" fontId="0" fillId="11" borderId="1" xfId="0" applyFill="1" applyBorder="1" applyAlignment="1">
      <alignment horizontal="center" vertical="center" wrapText="1"/>
    </xf>
    <xf numFmtId="0" fontId="30" fillId="14" borderId="35" xfId="0" applyFont="1" applyFill="1" applyBorder="1" applyAlignment="1">
      <alignment horizontal="center" vertical="center" wrapText="1"/>
    </xf>
    <xf numFmtId="0" fontId="0" fillId="7" borderId="22" xfId="0" applyFill="1" applyBorder="1" applyAlignment="1">
      <alignment horizontal="center" vertical="center" wrapText="1"/>
    </xf>
    <xf numFmtId="0" fontId="0" fillId="7" borderId="19" xfId="0" applyFill="1" applyBorder="1" applyAlignment="1">
      <alignment horizontal="center" vertical="center" wrapText="1"/>
    </xf>
    <xf numFmtId="0" fontId="27" fillId="7" borderId="1" xfId="0" applyFont="1" applyFill="1" applyBorder="1" applyAlignment="1">
      <alignment horizontal="center" vertical="center" wrapText="1"/>
    </xf>
    <xf numFmtId="0" fontId="0" fillId="0" borderId="22" xfId="0" applyBorder="1" applyAlignment="1">
      <alignment vertical="center" wrapText="1"/>
    </xf>
    <xf numFmtId="0" fontId="0" fillId="9" borderId="9" xfId="0" applyFill="1" applyBorder="1" applyAlignment="1">
      <alignment vertical="center" wrapText="1"/>
    </xf>
    <xf numFmtId="0" fontId="0" fillId="9" borderId="1" xfId="0" applyFill="1" applyBorder="1" applyAlignment="1">
      <alignment vertical="center" wrapText="1"/>
    </xf>
    <xf numFmtId="9" fontId="0" fillId="9" borderId="1" xfId="0" applyNumberFormat="1" applyFill="1" applyBorder="1" applyAlignment="1">
      <alignment vertical="center" wrapText="1"/>
    </xf>
    <xf numFmtId="10" fontId="0" fillId="9" borderId="1" xfId="0" applyNumberFormat="1" applyFill="1" applyBorder="1" applyAlignment="1">
      <alignment vertical="center" wrapText="1"/>
    </xf>
    <xf numFmtId="0" fontId="0" fillId="9" borderId="1" xfId="0" applyFill="1" applyBorder="1" applyAlignment="1">
      <alignment vertical="center"/>
    </xf>
    <xf numFmtId="167" fontId="0" fillId="9" borderId="1" xfId="0" applyNumberFormat="1" applyFill="1" applyBorder="1" applyAlignment="1">
      <alignment vertical="center" wrapText="1"/>
    </xf>
    <xf numFmtId="0" fontId="0" fillId="15" borderId="35" xfId="0" applyFill="1" applyBorder="1" applyAlignment="1">
      <alignment vertical="center" wrapText="1"/>
    </xf>
    <xf numFmtId="167" fontId="0" fillId="9" borderId="1" xfId="0" applyNumberFormat="1" applyFill="1" applyBorder="1" applyAlignment="1">
      <alignment vertical="center"/>
    </xf>
    <xf numFmtId="0" fontId="0" fillId="9" borderId="35" xfId="0" applyFill="1" applyBorder="1" applyAlignment="1">
      <alignment vertical="center" wrapText="1"/>
    </xf>
    <xf numFmtId="0" fontId="12" fillId="7" borderId="23" xfId="0" applyFont="1" applyFill="1" applyBorder="1" applyAlignment="1">
      <alignment horizontal="center" vertical="center" wrapText="1"/>
    </xf>
    <xf numFmtId="0" fontId="12" fillId="7" borderId="24" xfId="0" applyFont="1" applyFill="1" applyBorder="1" applyAlignment="1">
      <alignment horizontal="center" vertical="center" wrapText="1"/>
    </xf>
    <xf numFmtId="0" fontId="12" fillId="7" borderId="25" xfId="0" applyFont="1" applyFill="1" applyBorder="1" applyAlignment="1">
      <alignment horizontal="center" vertical="center" wrapText="1"/>
    </xf>
    <xf numFmtId="10" fontId="0" fillId="6" borderId="26" xfId="0" applyNumberFormat="1" applyFill="1" applyBorder="1" applyAlignment="1">
      <alignment horizontal="center" vertical="center" wrapText="1"/>
    </xf>
    <xf numFmtId="0" fontId="0" fillId="6" borderId="1" xfId="0" applyFill="1" applyBorder="1" applyAlignment="1">
      <alignment horizontal="center" vertical="center" wrapText="1"/>
    </xf>
    <xf numFmtId="9" fontId="0" fillId="6" borderId="1" xfId="0" applyNumberFormat="1" applyFill="1" applyBorder="1" applyAlignment="1">
      <alignment horizontal="center" vertical="center" wrapText="1"/>
    </xf>
    <xf numFmtId="6" fontId="0" fillId="6" borderId="1" xfId="0" applyNumberFormat="1" applyFill="1" applyBorder="1" applyAlignment="1">
      <alignment horizontal="center" vertical="center" wrapText="1"/>
    </xf>
    <xf numFmtId="170" fontId="0" fillId="6" borderId="27" xfId="0" applyNumberFormat="1" applyFill="1" applyBorder="1" applyAlignment="1">
      <alignment horizontal="center" vertical="center" wrapText="1"/>
    </xf>
    <xf numFmtId="0" fontId="0" fillId="6" borderId="26" xfId="0" applyFill="1" applyBorder="1" applyAlignment="1">
      <alignment vertical="center" wrapText="1"/>
    </xf>
    <xf numFmtId="0" fontId="0" fillId="6" borderId="1" xfId="0" applyFill="1" applyBorder="1" applyAlignment="1">
      <alignment vertical="center" wrapText="1"/>
    </xf>
    <xf numFmtId="0" fontId="0" fillId="6" borderId="27" xfId="0" applyFill="1" applyBorder="1" applyAlignment="1">
      <alignment vertical="center" wrapText="1"/>
    </xf>
    <xf numFmtId="0" fontId="0" fillId="6" borderId="28" xfId="0" applyFill="1" applyBorder="1" applyAlignment="1">
      <alignment vertical="center" wrapText="1"/>
    </xf>
    <xf numFmtId="0" fontId="0" fillId="6" borderId="29" xfId="0" applyFill="1" applyBorder="1" applyAlignment="1">
      <alignment vertical="center" wrapText="1"/>
    </xf>
    <xf numFmtId="0" fontId="0" fillId="6" borderId="30" xfId="0" applyFill="1" applyBorder="1" applyAlignment="1">
      <alignment vertical="center" wrapText="1"/>
    </xf>
    <xf numFmtId="0" fontId="0" fillId="0" borderId="32" xfId="0" applyBorder="1" applyAlignment="1">
      <alignment vertical="center" wrapText="1"/>
    </xf>
    <xf numFmtId="0" fontId="0" fillId="16" borderId="9" xfId="0" applyFill="1" applyBorder="1" applyAlignment="1">
      <alignment vertical="center" wrapText="1"/>
    </xf>
    <xf numFmtId="0" fontId="0" fillId="16" borderId="1" xfId="0" applyFill="1" applyBorder="1" applyAlignment="1">
      <alignment vertical="center" wrapText="1"/>
    </xf>
    <xf numFmtId="9" fontId="0" fillId="16" borderId="1" xfId="0" applyNumberFormat="1" applyFill="1" applyBorder="1" applyAlignment="1">
      <alignment vertical="center" wrapText="1"/>
    </xf>
    <xf numFmtId="10" fontId="0" fillId="16" borderId="1" xfId="0" applyNumberFormat="1" applyFill="1" applyBorder="1" applyAlignment="1">
      <alignment vertical="center" wrapText="1"/>
    </xf>
    <xf numFmtId="0" fontId="27" fillId="7" borderId="23" xfId="0" applyFont="1" applyFill="1" applyBorder="1" applyAlignment="1">
      <alignment horizontal="center" vertical="center" wrapText="1"/>
    </xf>
    <xf numFmtId="0" fontId="27" fillId="7" borderId="24" xfId="0" applyFont="1" applyFill="1" applyBorder="1" applyAlignment="1">
      <alignment horizontal="center" vertical="center" wrapText="1"/>
    </xf>
    <xf numFmtId="0" fontId="27" fillId="7" borderId="25" xfId="0" applyFont="1" applyFill="1" applyBorder="1" applyAlignment="1">
      <alignment horizontal="center" vertical="center" wrapText="1"/>
    </xf>
    <xf numFmtId="0" fontId="27" fillId="0" borderId="0" xfId="0" applyFont="1" applyAlignment="1">
      <alignment vertical="center" wrapText="1"/>
    </xf>
    <xf numFmtId="9" fontId="0" fillId="0" borderId="0" xfId="0" applyNumberFormat="1" applyAlignment="1">
      <alignment vertical="center" wrapText="1"/>
    </xf>
    <xf numFmtId="0" fontId="16" fillId="0" borderId="0" xfId="0" applyFont="1" applyAlignment="1">
      <alignment vertical="center"/>
    </xf>
    <xf numFmtId="0" fontId="27" fillId="0" borderId="0" xfId="0" applyFont="1" applyAlignment="1">
      <alignment vertical="center"/>
    </xf>
    <xf numFmtId="0" fontId="16" fillId="0" borderId="0" xfId="0" applyFont="1" applyAlignment="1">
      <alignment vertical="center" wrapText="1"/>
    </xf>
    <xf numFmtId="0" fontId="28" fillId="0" borderId="0" xfId="0" applyFont="1" applyAlignment="1">
      <alignment vertical="center" wrapText="1"/>
    </xf>
    <xf numFmtId="0" fontId="27" fillId="3" borderId="0" xfId="0" applyFont="1" applyFill="1" applyAlignment="1">
      <alignment vertical="center" wrapText="1"/>
    </xf>
    <xf numFmtId="0" fontId="0" fillId="9" borderId="36" xfId="0" applyFill="1" applyBorder="1" applyAlignment="1">
      <alignment vertical="center" wrapText="1"/>
    </xf>
    <xf numFmtId="9" fontId="0" fillId="6" borderId="26" xfId="0" applyNumberFormat="1" applyFill="1" applyBorder="1" applyAlignment="1">
      <alignment horizontal="center" vertical="center" wrapText="1"/>
    </xf>
    <xf numFmtId="0" fontId="12"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13" fillId="0" borderId="0" xfId="0" applyFont="1" applyAlignment="1">
      <alignment vertical="center" wrapText="1"/>
    </xf>
    <xf numFmtId="0" fontId="0" fillId="7" borderId="34" xfId="0" applyFill="1" applyBorder="1" applyAlignment="1">
      <alignment horizontal="center" vertical="center" wrapText="1"/>
    </xf>
    <xf numFmtId="0" fontId="0" fillId="16" borderId="1" xfId="0" applyFill="1" applyBorder="1" applyAlignment="1">
      <alignment vertical="center"/>
    </xf>
    <xf numFmtId="0" fontId="0" fillId="17" borderId="1" xfId="0" applyFill="1" applyBorder="1" applyAlignment="1">
      <alignment vertical="center" wrapText="1"/>
    </xf>
    <xf numFmtId="0" fontId="27" fillId="7" borderId="40" xfId="0" applyFont="1" applyFill="1" applyBorder="1" applyAlignment="1">
      <alignment horizontal="center" vertical="center" wrapText="1"/>
    </xf>
    <xf numFmtId="9" fontId="0" fillId="6" borderId="26" xfId="9" applyFont="1" applyFill="1" applyBorder="1" applyAlignment="1">
      <alignment vertical="center" wrapText="1"/>
    </xf>
    <xf numFmtId="9" fontId="0" fillId="6" borderId="1" xfId="9" applyFont="1" applyFill="1" applyBorder="1" applyAlignment="1">
      <alignment vertical="center" wrapText="1"/>
    </xf>
    <xf numFmtId="167" fontId="0" fillId="6" borderId="1" xfId="0" applyNumberFormat="1" applyFill="1" applyBorder="1" applyAlignment="1">
      <alignment vertical="center" wrapText="1"/>
    </xf>
    <xf numFmtId="0" fontId="0" fillId="6" borderId="41" xfId="0" applyFill="1" applyBorder="1" applyAlignment="1">
      <alignment vertical="center" wrapText="1"/>
    </xf>
    <xf numFmtId="0" fontId="0" fillId="7" borderId="1" xfId="0" applyFill="1" applyBorder="1" applyAlignment="1">
      <alignment vertical="center"/>
    </xf>
    <xf numFmtId="0" fontId="0" fillId="7" borderId="1" xfId="0" applyFill="1" applyBorder="1" applyAlignment="1">
      <alignment vertical="center" wrapText="1"/>
    </xf>
    <xf numFmtId="167" fontId="0" fillId="9" borderId="9" xfId="0" applyNumberFormat="1" applyFill="1" applyBorder="1" applyAlignment="1">
      <alignment vertical="center" wrapText="1"/>
    </xf>
    <xf numFmtId="172" fontId="0" fillId="6" borderId="1" xfId="0" applyNumberFormat="1" applyFill="1" applyBorder="1" applyAlignment="1">
      <alignment vertical="center" wrapText="1"/>
    </xf>
    <xf numFmtId="167" fontId="0" fillId="6" borderId="22" xfId="0" applyNumberFormat="1" applyFill="1" applyBorder="1" applyAlignment="1">
      <alignment vertical="center" wrapText="1"/>
    </xf>
    <xf numFmtId="0" fontId="0" fillId="6" borderId="9" xfId="0" applyFill="1" applyBorder="1" applyAlignment="1">
      <alignment horizontal="center" vertical="center" wrapText="1"/>
    </xf>
    <xf numFmtId="0" fontId="0" fillId="6" borderId="22" xfId="0" applyFill="1" applyBorder="1" applyAlignment="1">
      <alignment vertical="center" wrapText="1"/>
    </xf>
    <xf numFmtId="167" fontId="0" fillId="6" borderId="27" xfId="0" applyNumberFormat="1" applyFill="1" applyBorder="1" applyAlignment="1">
      <alignment vertical="center" wrapText="1"/>
    </xf>
    <xf numFmtId="167" fontId="0" fillId="11" borderId="1" xfId="0" applyNumberFormat="1" applyFill="1" applyBorder="1" applyAlignment="1">
      <alignment horizontal="center" vertical="center" wrapText="1"/>
    </xf>
    <xf numFmtId="0" fontId="12" fillId="3" borderId="0" xfId="0" applyFont="1" applyFill="1" applyAlignment="1">
      <alignment vertical="center" wrapText="1"/>
    </xf>
    <xf numFmtId="0" fontId="30" fillId="11" borderId="1" xfId="0" applyFont="1" applyFill="1" applyBorder="1" applyAlignment="1">
      <alignment horizontal="center" vertical="center" wrapText="1"/>
    </xf>
    <xf numFmtId="175" fontId="0" fillId="6" borderId="1" xfId="0" applyNumberFormat="1" applyFill="1" applyBorder="1" applyAlignment="1">
      <alignment horizontal="center" vertical="center" wrapText="1"/>
    </xf>
    <xf numFmtId="0" fontId="27" fillId="9" borderId="36" xfId="0" applyFont="1" applyFill="1" applyBorder="1" applyAlignment="1">
      <alignment vertical="center" wrapText="1"/>
    </xf>
    <xf numFmtId="0" fontId="0" fillId="6" borderId="26" xfId="0" applyFill="1" applyBorder="1" applyAlignment="1">
      <alignment horizontal="center" vertical="center" wrapText="1"/>
    </xf>
    <xf numFmtId="0" fontId="30" fillId="14" borderId="9" xfId="0" applyFont="1" applyFill="1" applyBorder="1" applyAlignment="1">
      <alignment horizontal="center" vertical="center" wrapText="1"/>
    </xf>
    <xf numFmtId="0" fontId="30" fillId="14" borderId="1" xfId="0" applyFont="1" applyFill="1" applyBorder="1" applyAlignment="1">
      <alignment horizontal="center" vertical="center" wrapText="1"/>
    </xf>
    <xf numFmtId="169" fontId="0" fillId="9" borderId="1" xfId="9" applyNumberFormat="1" applyFont="1" applyFill="1" applyBorder="1" applyAlignment="1">
      <alignment vertical="center" wrapText="1"/>
    </xf>
    <xf numFmtId="170" fontId="0" fillId="9" borderId="1" xfId="9" applyNumberFormat="1" applyFont="1" applyFill="1" applyBorder="1" applyAlignment="1">
      <alignment vertical="center" wrapText="1"/>
    </xf>
    <xf numFmtId="171" fontId="0" fillId="6" borderId="1" xfId="0" applyNumberFormat="1" applyFill="1" applyBorder="1" applyAlignment="1">
      <alignment horizontal="center" vertical="center" wrapText="1"/>
    </xf>
    <xf numFmtId="10" fontId="0" fillId="0" borderId="0" xfId="9" applyNumberFormat="1" applyFont="1" applyAlignment="1">
      <alignment vertical="center"/>
    </xf>
    <xf numFmtId="10" fontId="0" fillId="6" borderId="26" xfId="0" applyNumberFormat="1" applyFill="1" applyBorder="1" applyAlignment="1">
      <alignment vertical="center" wrapText="1"/>
    </xf>
    <xf numFmtId="0" fontId="0" fillId="9" borderId="1" xfId="9" applyNumberFormat="1" applyFont="1" applyFill="1" applyBorder="1" applyAlignment="1">
      <alignment vertical="center" wrapText="1"/>
    </xf>
    <xf numFmtId="0" fontId="0" fillId="9" borderId="44" xfId="0" applyFill="1" applyBorder="1" applyAlignment="1">
      <alignment vertical="center"/>
    </xf>
    <xf numFmtId="168" fontId="0" fillId="9" borderId="1" xfId="0" applyNumberFormat="1" applyFill="1" applyBorder="1" applyAlignment="1">
      <alignment vertical="center" wrapText="1"/>
    </xf>
    <xf numFmtId="169" fontId="0" fillId="6" borderId="26" xfId="0" applyNumberFormat="1" applyFill="1" applyBorder="1" applyAlignment="1">
      <alignment horizontal="center" vertical="center" wrapText="1"/>
    </xf>
    <xf numFmtId="173" fontId="0" fillId="9" borderId="9" xfId="0" applyNumberFormat="1" applyFill="1" applyBorder="1" applyAlignment="1">
      <alignment vertical="center" wrapText="1"/>
    </xf>
    <xf numFmtId="172" fontId="0" fillId="6" borderId="27" xfId="0" applyNumberFormat="1" applyFill="1" applyBorder="1" applyAlignment="1">
      <alignment horizontal="center" vertical="center" wrapText="1"/>
    </xf>
    <xf numFmtId="0" fontId="12" fillId="3" borderId="22" xfId="0" applyFont="1" applyFill="1" applyBorder="1" applyAlignment="1">
      <alignment vertical="center" wrapText="1"/>
    </xf>
    <xf numFmtId="0" fontId="12" fillId="10" borderId="1" xfId="0" applyFont="1" applyFill="1" applyBorder="1" applyAlignment="1">
      <alignment vertical="center" wrapText="1"/>
    </xf>
    <xf numFmtId="0" fontId="10" fillId="0" borderId="0" xfId="5" applyAlignment="1">
      <alignment vertical="center"/>
    </xf>
    <xf numFmtId="0" fontId="12" fillId="0" borderId="0" xfId="5" applyFont="1" applyAlignment="1">
      <alignment vertical="center"/>
    </xf>
    <xf numFmtId="0" fontId="18" fillId="0" borderId="0" xfId="5" applyFont="1" applyAlignment="1">
      <alignment vertical="center" wrapText="1"/>
    </xf>
    <xf numFmtId="167" fontId="0" fillId="6" borderId="1" xfId="0" applyNumberFormat="1" applyFill="1" applyBorder="1" applyAlignment="1">
      <alignment horizontal="center" vertical="center" wrapText="1"/>
    </xf>
    <xf numFmtId="172" fontId="0" fillId="6" borderId="1" xfId="0" applyNumberFormat="1" applyFill="1" applyBorder="1" applyAlignment="1">
      <alignment horizontal="center" vertical="center" wrapText="1"/>
    </xf>
    <xf numFmtId="8" fontId="0" fillId="6" borderId="1" xfId="0" applyNumberFormat="1" applyFill="1" applyBorder="1" applyAlignment="1">
      <alignment horizontal="center" vertical="center" wrapText="1"/>
    </xf>
    <xf numFmtId="167" fontId="0" fillId="6" borderId="27" xfId="0" applyNumberFormat="1" applyFill="1" applyBorder="1" applyAlignment="1">
      <alignment horizontal="center" vertical="center" wrapText="1"/>
    </xf>
    <xf numFmtId="167" fontId="0" fillId="6" borderId="29" xfId="0" applyNumberFormat="1" applyFill="1" applyBorder="1" applyAlignment="1">
      <alignment vertical="center" wrapText="1"/>
    </xf>
    <xf numFmtId="167" fontId="0" fillId="9" borderId="1" xfId="9" applyNumberFormat="1" applyFont="1" applyFill="1" applyBorder="1" applyAlignment="1">
      <alignment vertical="center" wrapText="1"/>
    </xf>
    <xf numFmtId="167" fontId="0" fillId="6" borderId="30" xfId="0" applyNumberFormat="1" applyFill="1" applyBorder="1" applyAlignment="1">
      <alignment vertical="center" wrapText="1"/>
    </xf>
    <xf numFmtId="176" fontId="0" fillId="9" borderId="1" xfId="0" applyNumberFormat="1" applyFill="1" applyBorder="1" applyAlignment="1">
      <alignment horizontal="center" vertical="center" wrapText="1"/>
    </xf>
    <xf numFmtId="2" fontId="0" fillId="6" borderId="27" xfId="0" applyNumberFormat="1" applyFill="1" applyBorder="1" applyAlignment="1">
      <alignment horizontal="center" vertical="center" wrapText="1"/>
    </xf>
    <xf numFmtId="0" fontId="27" fillId="7" borderId="46" xfId="0" applyFont="1" applyFill="1" applyBorder="1" applyAlignment="1">
      <alignment horizontal="center" vertical="center" wrapText="1"/>
    </xf>
    <xf numFmtId="0" fontId="27" fillId="7" borderId="47" xfId="0" applyFont="1" applyFill="1" applyBorder="1" applyAlignment="1">
      <alignment horizontal="center" vertical="center" wrapText="1"/>
    </xf>
    <xf numFmtId="0" fontId="27" fillId="7" borderId="48" xfId="0" applyFont="1" applyFill="1" applyBorder="1" applyAlignment="1">
      <alignment horizontal="center" vertical="center" wrapText="1"/>
    </xf>
    <xf numFmtId="0" fontId="27" fillId="7" borderId="8" xfId="0" applyFont="1" applyFill="1" applyBorder="1" applyAlignment="1">
      <alignment horizontal="center" vertical="center" wrapText="1"/>
    </xf>
    <xf numFmtId="9" fontId="0" fillId="6" borderId="49" xfId="9" applyFont="1" applyFill="1" applyBorder="1" applyAlignment="1">
      <alignment vertical="center" wrapText="1"/>
    </xf>
    <xf numFmtId="172" fontId="0" fillId="6" borderId="10" xfId="0" applyNumberFormat="1" applyFill="1" applyBorder="1" applyAlignment="1">
      <alignment vertical="center" wrapText="1"/>
    </xf>
    <xf numFmtId="172" fontId="0" fillId="6" borderId="49" xfId="0" applyNumberFormat="1" applyFill="1" applyBorder="1" applyAlignment="1">
      <alignment vertical="center" wrapText="1"/>
    </xf>
    <xf numFmtId="0" fontId="0" fillId="6" borderId="50" xfId="0" applyFill="1" applyBorder="1" applyAlignment="1">
      <alignment vertical="center" wrapText="1"/>
    </xf>
    <xf numFmtId="0" fontId="0" fillId="6" borderId="51" xfId="0" applyFill="1" applyBorder="1" applyAlignment="1">
      <alignment vertical="center" wrapText="1"/>
    </xf>
    <xf numFmtId="0" fontId="0" fillId="6" borderId="52" xfId="0" applyFill="1" applyBorder="1" applyAlignment="1">
      <alignment vertical="center" wrapText="1"/>
    </xf>
    <xf numFmtId="0" fontId="0" fillId="6" borderId="12" xfId="0" applyFill="1" applyBorder="1" applyAlignment="1">
      <alignment vertical="center" wrapText="1"/>
    </xf>
    <xf numFmtId="2" fontId="0" fillId="6" borderId="27" xfId="0" applyNumberFormat="1" applyFill="1" applyBorder="1" applyAlignment="1">
      <alignment vertical="center" wrapText="1"/>
    </xf>
    <xf numFmtId="2" fontId="0" fillId="6" borderId="30" xfId="0" applyNumberFormat="1" applyFill="1" applyBorder="1" applyAlignment="1">
      <alignment vertical="center" wrapText="1"/>
    </xf>
    <xf numFmtId="169" fontId="0" fillId="6" borderId="1" xfId="9" applyNumberFormat="1" applyFont="1" applyFill="1" applyBorder="1" applyAlignment="1">
      <alignment vertical="center" wrapText="1"/>
    </xf>
    <xf numFmtId="167" fontId="0" fillId="6" borderId="10" xfId="0" applyNumberFormat="1" applyFill="1" applyBorder="1" applyAlignment="1">
      <alignment vertical="center" wrapText="1"/>
    </xf>
    <xf numFmtId="9" fontId="0" fillId="0" borderId="1" xfId="9" applyFont="1" applyBorder="1"/>
    <xf numFmtId="0" fontId="0" fillId="0" borderId="1" xfId="0" applyBorder="1" applyAlignment="1">
      <alignment horizontal="left"/>
    </xf>
    <xf numFmtId="0" fontId="0" fillId="0" borderId="10" xfId="0" applyBorder="1" applyAlignment="1">
      <alignment horizontal="left"/>
    </xf>
    <xf numFmtId="10" fontId="0" fillId="0" borderId="9" xfId="0" applyNumberFormat="1" applyBorder="1" applyAlignment="1">
      <alignment horizontal="center"/>
    </xf>
    <xf numFmtId="10" fontId="0" fillId="23" borderId="42" xfId="0" applyNumberFormat="1" applyFill="1" applyBorder="1" applyAlignment="1">
      <alignment horizontal="center"/>
    </xf>
    <xf numFmtId="0" fontId="0" fillId="0" borderId="9" xfId="0" applyBorder="1" applyAlignment="1">
      <alignment horizontal="center"/>
    </xf>
    <xf numFmtId="0" fontId="0" fillId="0" borderId="10" xfId="0" applyBorder="1"/>
    <xf numFmtId="10" fontId="0" fillId="23" borderId="9" xfId="0" applyNumberFormat="1" applyFill="1" applyBorder="1" applyAlignment="1">
      <alignment horizontal="center"/>
    </xf>
    <xf numFmtId="9" fontId="0" fillId="0" borderId="0" xfId="9" applyFont="1"/>
    <xf numFmtId="0" fontId="0" fillId="0" borderId="56" xfId="0" applyBorder="1"/>
    <xf numFmtId="10" fontId="27" fillId="0" borderId="9" xfId="9" applyNumberFormat="1" applyFont="1" applyBorder="1" applyAlignment="1">
      <alignment horizontal="center"/>
    </xf>
    <xf numFmtId="0" fontId="27" fillId="0" borderId="1" xfId="0" applyFont="1" applyBorder="1" applyAlignment="1">
      <alignment horizontal="left"/>
    </xf>
    <xf numFmtId="0" fontId="27" fillId="0" borderId="10" xfId="0" applyFont="1" applyBorder="1" applyAlignment="1">
      <alignment horizontal="left"/>
    </xf>
    <xf numFmtId="0" fontId="27" fillId="0" borderId="9" xfId="0" applyFont="1" applyBorder="1" applyAlignment="1">
      <alignment horizontal="center"/>
    </xf>
    <xf numFmtId="0" fontId="0" fillId="0" borderId="57" xfId="0" applyBorder="1"/>
    <xf numFmtId="10" fontId="0" fillId="0" borderId="0" xfId="0" applyNumberFormat="1"/>
    <xf numFmtId="0" fontId="27" fillId="24" borderId="58" xfId="0" applyFont="1" applyFill="1" applyBorder="1" applyAlignment="1">
      <alignment horizontal="left" wrapText="1"/>
    </xf>
    <xf numFmtId="0" fontId="27" fillId="24" borderId="58" xfId="0" applyFont="1" applyFill="1" applyBorder="1" applyAlignment="1">
      <alignment vertical="top" wrapText="1"/>
    </xf>
    <xf numFmtId="0" fontId="0" fillId="24" borderId="58" xfId="0" applyFill="1" applyBorder="1" applyAlignment="1">
      <alignment vertical="top" wrapText="1"/>
    </xf>
    <xf numFmtId="0" fontId="27" fillId="24" borderId="58" xfId="0" applyFont="1" applyFill="1" applyBorder="1" applyAlignment="1">
      <alignment horizontal="center" wrapText="1"/>
    </xf>
    <xf numFmtId="0" fontId="0" fillId="0" borderId="0" xfId="0" applyAlignment="1">
      <alignment horizontal="center" vertical="top"/>
    </xf>
    <xf numFmtId="0" fontId="35" fillId="0" borderId="0" xfId="0" applyFont="1" applyAlignment="1">
      <alignment horizontal="center" vertical="top"/>
    </xf>
    <xf numFmtId="0" fontId="0" fillId="0" borderId="31" xfId="0" applyBorder="1" applyAlignment="1">
      <alignment horizontal="center" vertical="top"/>
    </xf>
    <xf numFmtId="0" fontId="36" fillId="0" borderId="0" xfId="0" applyFont="1" applyAlignment="1">
      <alignment horizontal="center" vertical="top"/>
    </xf>
    <xf numFmtId="0" fontId="36" fillId="0" borderId="31" xfId="0" applyFont="1" applyBorder="1" applyAlignment="1">
      <alignment horizontal="center" vertical="top"/>
    </xf>
    <xf numFmtId="0" fontId="27" fillId="25" borderId="44" xfId="0" applyFont="1" applyFill="1" applyBorder="1" applyAlignment="1">
      <alignment horizontal="left"/>
    </xf>
    <xf numFmtId="0" fontId="0" fillId="25" borderId="44" xfId="0" applyFill="1" applyBorder="1" applyAlignment="1">
      <alignment horizontal="left"/>
    </xf>
    <xf numFmtId="0" fontId="0" fillId="25" borderId="44" xfId="0" applyFill="1" applyBorder="1" applyAlignment="1">
      <alignment horizontal="center" vertical="top"/>
    </xf>
    <xf numFmtId="0" fontId="0" fillId="25" borderId="20" xfId="0" applyFill="1" applyBorder="1"/>
    <xf numFmtId="0" fontId="0" fillId="25" borderId="44" xfId="0" applyFill="1" applyBorder="1"/>
    <xf numFmtId="2" fontId="0" fillId="0" borderId="0" xfId="9" applyNumberFormat="1" applyFont="1" applyAlignment="1">
      <alignment horizontal="center" vertical="top"/>
    </xf>
    <xf numFmtId="167" fontId="0" fillId="0" borderId="0" xfId="9" applyNumberFormat="1" applyFont="1" applyAlignment="1">
      <alignment horizontal="center" vertical="top"/>
    </xf>
    <xf numFmtId="2" fontId="0" fillId="0" borderId="31" xfId="9" applyNumberFormat="1" applyFont="1" applyBorder="1" applyAlignment="1">
      <alignment horizontal="center" vertical="top"/>
    </xf>
    <xf numFmtId="2" fontId="27" fillId="0" borderId="0" xfId="9" applyNumberFormat="1" applyFont="1" applyAlignment="1">
      <alignment horizontal="center" vertical="top"/>
    </xf>
    <xf numFmtId="167" fontId="27" fillId="0" borderId="0" xfId="9" applyNumberFormat="1" applyFont="1" applyAlignment="1">
      <alignment horizontal="center" vertical="top"/>
    </xf>
    <xf numFmtId="2" fontId="27" fillId="0" borderId="31" xfId="9" applyNumberFormat="1" applyFont="1" applyBorder="1" applyAlignment="1">
      <alignment horizontal="center" vertical="top"/>
    </xf>
    <xf numFmtId="2" fontId="27" fillId="0" borderId="18" xfId="9" applyNumberFormat="1" applyFont="1" applyBorder="1" applyAlignment="1">
      <alignment horizontal="center" vertical="top"/>
    </xf>
    <xf numFmtId="167" fontId="27" fillId="0" borderId="18" xfId="9" applyNumberFormat="1" applyFont="1" applyBorder="1" applyAlignment="1">
      <alignment horizontal="center" vertical="top"/>
    </xf>
    <xf numFmtId="2" fontId="27" fillId="0" borderId="21" xfId="9" applyNumberFormat="1" applyFont="1" applyBorder="1" applyAlignment="1">
      <alignment horizontal="center" vertical="top"/>
    </xf>
    <xf numFmtId="1" fontId="27" fillId="0" borderId="0" xfId="0" applyNumberFormat="1" applyFont="1" applyAlignment="1">
      <alignment horizontal="center" vertical="top"/>
    </xf>
    <xf numFmtId="167" fontId="27" fillId="0" borderId="0" xfId="0" applyNumberFormat="1" applyFont="1" applyAlignment="1">
      <alignment horizontal="center" vertical="top"/>
    </xf>
    <xf numFmtId="178" fontId="27" fillId="0" borderId="31" xfId="0" applyNumberFormat="1" applyFont="1" applyBorder="1" applyAlignment="1">
      <alignment horizontal="center" vertical="top"/>
    </xf>
    <xf numFmtId="2" fontId="27" fillId="0" borderId="0" xfId="0" applyNumberFormat="1" applyFont="1" applyAlignment="1">
      <alignment horizontal="center" vertical="top"/>
    </xf>
    <xf numFmtId="178" fontId="27" fillId="0" borderId="0" xfId="0" applyNumberFormat="1" applyFont="1" applyAlignment="1">
      <alignment horizontal="center" vertical="top"/>
    </xf>
    <xf numFmtId="2" fontId="27" fillId="0" borderId="18" xfId="0" applyNumberFormat="1" applyFont="1" applyBorder="1" applyAlignment="1">
      <alignment horizontal="center" vertical="top"/>
    </xf>
    <xf numFmtId="167" fontId="27" fillId="0" borderId="18" xfId="0" applyNumberFormat="1" applyFont="1" applyBorder="1" applyAlignment="1">
      <alignment horizontal="center" vertical="top"/>
    </xf>
    <xf numFmtId="168" fontId="27" fillId="0" borderId="18" xfId="0" applyNumberFormat="1" applyFont="1" applyBorder="1" applyAlignment="1">
      <alignment horizontal="center" vertical="top"/>
    </xf>
    <xf numFmtId="167" fontId="27" fillId="0" borderId="21" xfId="0" applyNumberFormat="1" applyFont="1" applyBorder="1" applyAlignment="1">
      <alignment horizontal="center" vertical="top"/>
    </xf>
    <xf numFmtId="10" fontId="0" fillId="0" borderId="18" xfId="9" applyNumberFormat="1" applyFont="1" applyBorder="1" applyAlignment="1">
      <alignment horizontal="center" vertical="top"/>
    </xf>
    <xf numFmtId="169" fontId="0" fillId="0" borderId="18" xfId="9" applyNumberFormat="1" applyFont="1" applyBorder="1" applyAlignment="1">
      <alignment horizontal="center" vertical="top"/>
    </xf>
    <xf numFmtId="10" fontId="0" fillId="0" borderId="21" xfId="9" applyNumberFormat="1" applyFont="1" applyBorder="1" applyAlignment="1">
      <alignment horizontal="center" vertical="top"/>
    </xf>
    <xf numFmtId="167" fontId="0" fillId="0" borderId="0" xfId="0" applyNumberFormat="1" applyAlignment="1">
      <alignment horizontal="center" vertical="top"/>
    </xf>
    <xf numFmtId="168" fontId="0" fillId="0" borderId="0" xfId="0" applyNumberFormat="1" applyAlignment="1">
      <alignment horizontal="center" vertical="top"/>
    </xf>
    <xf numFmtId="168" fontId="0" fillId="0" borderId="31" xfId="0" applyNumberFormat="1" applyBorder="1" applyAlignment="1">
      <alignment horizontal="center" vertical="top"/>
    </xf>
    <xf numFmtId="174" fontId="0" fillId="0" borderId="0" xfId="0" applyNumberFormat="1" applyAlignment="1">
      <alignment horizontal="center" vertical="top"/>
    </xf>
    <xf numFmtId="0" fontId="27" fillId="0" borderId="18" xfId="0" applyFont="1" applyBorder="1"/>
    <xf numFmtId="1" fontId="0" fillId="0" borderId="0" xfId="0" applyNumberFormat="1" applyAlignment="1">
      <alignment horizontal="center" vertical="top"/>
    </xf>
    <xf numFmtId="1" fontId="0" fillId="0" borderId="31" xfId="0" applyNumberFormat="1" applyBorder="1" applyAlignment="1">
      <alignment horizontal="center" vertical="top"/>
    </xf>
    <xf numFmtId="1" fontId="27" fillId="0" borderId="31" xfId="0" applyNumberFormat="1" applyFont="1" applyBorder="1" applyAlignment="1">
      <alignment horizontal="center" vertical="top"/>
    </xf>
    <xf numFmtId="0" fontId="27" fillId="0" borderId="18" xfId="0" applyFont="1" applyBorder="1" applyAlignment="1">
      <alignment horizontal="center" vertical="top"/>
    </xf>
    <xf numFmtId="1" fontId="27" fillId="0" borderId="18" xfId="0" applyNumberFormat="1" applyFont="1" applyBorder="1" applyAlignment="1">
      <alignment horizontal="center" vertical="top"/>
    </xf>
    <xf numFmtId="0" fontId="27" fillId="26" borderId="0" xfId="0" applyFont="1" applyFill="1" applyAlignment="1">
      <alignment horizontal="left" vertical="top"/>
    </xf>
    <xf numFmtId="0" fontId="27" fillId="26" borderId="0" xfId="0" applyFont="1" applyFill="1"/>
    <xf numFmtId="0" fontId="27" fillId="26" borderId="0" xfId="0" applyFont="1" applyFill="1" applyAlignment="1">
      <alignment horizontal="center" vertical="top"/>
    </xf>
    <xf numFmtId="0" fontId="38" fillId="27" borderId="0" xfId="0" applyFont="1" applyFill="1" applyAlignment="1">
      <alignment horizontal="center" vertical="center"/>
    </xf>
    <xf numFmtId="0" fontId="38" fillId="27" borderId="0" xfId="0" applyFont="1" applyFill="1"/>
    <xf numFmtId="1" fontId="38" fillId="27" borderId="0" xfId="0" applyNumberFormat="1" applyFont="1" applyFill="1" applyAlignment="1">
      <alignment horizontal="center" vertical="top"/>
    </xf>
    <xf numFmtId="0" fontId="37" fillId="0" borderId="0" xfId="0" applyFont="1"/>
    <xf numFmtId="1" fontId="37" fillId="0" borderId="0" xfId="0" applyNumberFormat="1" applyFont="1" applyAlignment="1">
      <alignment horizontal="center" vertical="top"/>
    </xf>
    <xf numFmtId="0" fontId="38" fillId="0" borderId="0" xfId="0" applyFont="1"/>
    <xf numFmtId="1" fontId="38" fillId="0" borderId="0" xfId="0" applyNumberFormat="1" applyFont="1" applyAlignment="1">
      <alignment horizontal="center" vertical="top"/>
    </xf>
    <xf numFmtId="174" fontId="38" fillId="0" borderId="0" xfId="0" applyNumberFormat="1" applyFont="1" applyAlignment="1">
      <alignment horizontal="center" vertical="top"/>
    </xf>
    <xf numFmtId="0" fontId="38" fillId="0" borderId="18" xfId="0" applyFont="1" applyBorder="1"/>
    <xf numFmtId="167" fontId="38" fillId="0" borderId="18" xfId="0" applyNumberFormat="1" applyFont="1" applyBorder="1" applyAlignment="1">
      <alignment horizontal="center" vertical="top"/>
    </xf>
    <xf numFmtId="1" fontId="38" fillId="0" borderId="18" xfId="0" applyNumberFormat="1" applyFont="1" applyBorder="1" applyAlignment="1">
      <alignment horizontal="center" vertical="top"/>
    </xf>
    <xf numFmtId="177" fontId="38" fillId="0" borderId="18" xfId="0" applyNumberFormat="1" applyFont="1" applyBorder="1" applyAlignment="1">
      <alignment horizontal="center" vertical="top"/>
    </xf>
    <xf numFmtId="0" fontId="37" fillId="0" borderId="44" xfId="0" applyFont="1" applyBorder="1"/>
    <xf numFmtId="1" fontId="37" fillId="0" borderId="44" xfId="0" applyNumberFormat="1" applyFont="1" applyBorder="1" applyAlignment="1">
      <alignment horizontal="center" vertical="top"/>
    </xf>
    <xf numFmtId="168" fontId="38" fillId="0" borderId="18" xfId="0" applyNumberFormat="1" applyFont="1" applyBorder="1" applyAlignment="1">
      <alignment horizontal="center" vertical="top"/>
    </xf>
    <xf numFmtId="0" fontId="0" fillId="0" borderId="0" xfId="0" applyAlignment="1">
      <alignment horizontal="center"/>
    </xf>
    <xf numFmtId="0" fontId="0" fillId="0" borderId="44" xfId="0" applyBorder="1"/>
    <xf numFmtId="0" fontId="0" fillId="0" borderId="44" xfId="0" applyBorder="1" applyAlignment="1">
      <alignment horizontal="center"/>
    </xf>
    <xf numFmtId="0" fontId="27" fillId="28" borderId="0" xfId="0" applyFont="1" applyFill="1" applyAlignment="1">
      <alignment horizontal="left" vertical="top"/>
    </xf>
    <xf numFmtId="0" fontId="37" fillId="28" borderId="0" xfId="0" applyFont="1" applyFill="1"/>
    <xf numFmtId="0" fontId="0" fillId="28" borderId="0" xfId="0" applyFill="1" applyAlignment="1">
      <alignment horizontal="center" vertical="top"/>
    </xf>
    <xf numFmtId="0" fontId="0" fillId="28" borderId="0" xfId="0" applyFill="1"/>
    <xf numFmtId="0" fontId="0" fillId="4" borderId="0" xfId="0" applyFill="1" applyAlignment="1">
      <alignment horizontal="center" vertical="top"/>
    </xf>
    <xf numFmtId="0" fontId="27" fillId="0" borderId="0" xfId="16" applyNumberFormat="1" applyFont="1" applyAlignment="1">
      <alignment horizontal="center" vertical="top"/>
    </xf>
    <xf numFmtId="0" fontId="27" fillId="0" borderId="0" xfId="0" applyFont="1" applyAlignment="1">
      <alignment horizontal="center" vertical="top"/>
    </xf>
    <xf numFmtId="0" fontId="27" fillId="4" borderId="0" xfId="0" applyFont="1" applyFill="1" applyAlignment="1">
      <alignment horizontal="center" vertical="top"/>
    </xf>
    <xf numFmtId="0" fontId="27" fillId="4" borderId="18" xfId="0" applyFont="1" applyFill="1" applyBorder="1" applyAlignment="1">
      <alignment horizontal="center" vertical="top"/>
    </xf>
    <xf numFmtId="0" fontId="0" fillId="0" borderId="44" xfId="0" applyBorder="1" applyAlignment="1">
      <alignment horizontal="center" vertical="top"/>
    </xf>
    <xf numFmtId="0" fontId="0" fillId="4" borderId="44" xfId="0" applyFill="1" applyBorder="1" applyAlignment="1">
      <alignment horizontal="center" vertical="top"/>
    </xf>
    <xf numFmtId="0" fontId="27" fillId="0" borderId="0" xfId="0" applyFont="1" applyAlignment="1">
      <alignment vertical="top"/>
    </xf>
    <xf numFmtId="0" fontId="0" fillId="0" borderId="0" xfId="0" applyAlignment="1">
      <alignment vertical="top"/>
    </xf>
    <xf numFmtId="0" fontId="0" fillId="0" borderId="0" xfId="5" applyFont="1" applyAlignment="1">
      <alignment vertical="center"/>
    </xf>
    <xf numFmtId="2" fontId="0" fillId="6" borderId="1" xfId="0" applyNumberFormat="1" applyFill="1" applyBorder="1" applyAlignment="1">
      <alignment horizontal="center" vertical="center" wrapText="1"/>
    </xf>
    <xf numFmtId="2" fontId="0" fillId="6" borderId="1" xfId="0" applyNumberFormat="1" applyFill="1" applyBorder="1" applyAlignment="1">
      <alignment vertical="center" wrapText="1"/>
    </xf>
    <xf numFmtId="168" fontId="0" fillId="6" borderId="1" xfId="0" applyNumberFormat="1" applyFill="1" applyBorder="1" applyAlignment="1">
      <alignment vertical="center" wrapText="1"/>
    </xf>
    <xf numFmtId="175" fontId="0" fillId="6" borderId="22" xfId="0" applyNumberFormat="1" applyFill="1" applyBorder="1" applyAlignment="1">
      <alignment horizontal="center" vertical="center" wrapText="1"/>
    </xf>
    <xf numFmtId="167" fontId="0" fillId="6" borderId="22" xfId="0" applyNumberFormat="1" applyFill="1" applyBorder="1" applyAlignment="1">
      <alignment horizontal="center" vertical="center" wrapText="1"/>
    </xf>
    <xf numFmtId="0" fontId="39" fillId="0" borderId="0" xfId="0" applyFont="1"/>
    <xf numFmtId="0" fontId="0" fillId="12" borderId="0" xfId="0" applyFill="1"/>
    <xf numFmtId="0" fontId="0" fillId="0" borderId="0" xfId="0" applyAlignment="1">
      <alignment horizontal="center" vertical="center" wrapText="1"/>
    </xf>
    <xf numFmtId="0" fontId="27" fillId="0" borderId="0" xfId="0" applyFont="1" applyAlignment="1">
      <alignment horizontal="center" vertical="center"/>
    </xf>
    <xf numFmtId="0" fontId="26" fillId="5" borderId="15" xfId="0" applyFont="1" applyFill="1" applyBorder="1" applyAlignment="1">
      <alignment horizontal="center" vertical="center" wrapText="1"/>
    </xf>
    <xf numFmtId="0" fontId="26" fillId="5" borderId="16" xfId="0" applyFont="1" applyFill="1" applyBorder="1" applyAlignment="1">
      <alignment horizontal="center" vertical="center" wrapText="1"/>
    </xf>
    <xf numFmtId="0" fontId="26" fillId="5" borderId="17" xfId="0" applyFont="1" applyFill="1" applyBorder="1" applyAlignment="1">
      <alignment horizontal="center" vertical="center" wrapText="1"/>
    </xf>
    <xf numFmtId="0" fontId="27" fillId="24" borderId="0" xfId="0" applyFont="1" applyFill="1" applyAlignment="1">
      <alignment horizontal="left" wrapText="1"/>
    </xf>
    <xf numFmtId="0" fontId="27" fillId="24" borderId="0" xfId="0" applyFont="1" applyFill="1" applyAlignment="1">
      <alignment vertical="top" wrapText="1"/>
    </xf>
    <xf numFmtId="0" fontId="0" fillId="24" borderId="0" xfId="0" applyFill="1" applyAlignment="1">
      <alignment vertical="top" wrapText="1"/>
    </xf>
    <xf numFmtId="0" fontId="31" fillId="29" borderId="0" xfId="0" applyFont="1" applyFill="1" applyAlignment="1">
      <alignment horizontal="center" wrapText="1"/>
    </xf>
    <xf numFmtId="0" fontId="31" fillId="29" borderId="31" xfId="0" applyFont="1" applyFill="1" applyBorder="1" applyAlignment="1">
      <alignment horizontal="center" wrapText="1"/>
    </xf>
    <xf numFmtId="167" fontId="27" fillId="9" borderId="1" xfId="0" applyNumberFormat="1" applyFont="1" applyFill="1" applyBorder="1" applyAlignment="1">
      <alignment vertical="center" wrapText="1"/>
    </xf>
    <xf numFmtId="0" fontId="31" fillId="11" borderId="33" xfId="10" applyFont="1" applyFill="1" applyAlignment="1">
      <alignment horizontal="center" vertical="center" wrapText="1"/>
    </xf>
    <xf numFmtId="169" fontId="0" fillId="11" borderId="1" xfId="9" applyNumberFormat="1" applyFont="1" applyFill="1" applyBorder="1" applyAlignment="1">
      <alignment horizontal="center" vertical="center" wrapText="1"/>
    </xf>
    <xf numFmtId="0" fontId="41" fillId="24" borderId="58" xfId="0" applyFont="1" applyFill="1" applyBorder="1" applyAlignment="1">
      <alignment horizontal="center" wrapText="1"/>
    </xf>
    <xf numFmtId="0" fontId="0" fillId="31" borderId="2" xfId="0" applyFill="1" applyBorder="1" applyAlignment="1">
      <alignment vertical="center" wrapText="1"/>
    </xf>
    <xf numFmtId="0" fontId="31" fillId="30" borderId="5" xfId="0" applyFont="1" applyFill="1" applyBorder="1"/>
    <xf numFmtId="0" fontId="31" fillId="30" borderId="60" xfId="0" applyFont="1" applyFill="1" applyBorder="1" applyAlignment="1">
      <alignment horizontal="center"/>
    </xf>
    <xf numFmtId="0" fontId="31" fillId="30" borderId="60" xfId="0" applyFont="1" applyFill="1" applyBorder="1" applyAlignment="1">
      <alignment horizontal="center" wrapText="1"/>
    </xf>
    <xf numFmtId="0" fontId="31" fillId="30" borderId="5" xfId="0" applyFont="1" applyFill="1" applyBorder="1" applyAlignment="1">
      <alignment horizontal="center" wrapText="1"/>
    </xf>
    <xf numFmtId="0" fontId="42" fillId="32" borderId="62" xfId="0" applyFont="1" applyFill="1" applyBorder="1" applyAlignment="1">
      <alignment vertical="center"/>
    </xf>
    <xf numFmtId="0" fontId="31" fillId="30" borderId="63" xfId="0" applyFont="1" applyFill="1" applyBorder="1"/>
    <xf numFmtId="1" fontId="31" fillId="30" borderId="59" xfId="0" applyNumberFormat="1" applyFont="1" applyFill="1" applyBorder="1" applyAlignment="1">
      <alignment horizontal="center" wrapText="1"/>
    </xf>
    <xf numFmtId="1" fontId="31" fillId="30" borderId="64" xfId="0" applyNumberFormat="1" applyFont="1" applyFill="1" applyBorder="1" applyAlignment="1">
      <alignment horizontal="center" wrapText="1"/>
    </xf>
    <xf numFmtId="0" fontId="31" fillId="30" borderId="59" xfId="0" applyFont="1" applyFill="1" applyBorder="1" applyAlignment="1">
      <alignment horizontal="center" wrapText="1"/>
    </xf>
    <xf numFmtId="0" fontId="0" fillId="0" borderId="66" xfId="0" applyBorder="1" applyAlignment="1">
      <alignment vertical="center"/>
    </xf>
    <xf numFmtId="0" fontId="18" fillId="0" borderId="0" xfId="0" applyFont="1" applyAlignment="1">
      <alignment horizontal="center" wrapText="1"/>
    </xf>
    <xf numFmtId="178" fontId="28" fillId="24" borderId="44" xfId="0" applyNumberFormat="1" applyFont="1" applyFill="1" applyBorder="1" applyAlignment="1">
      <alignment horizontal="center" vertical="center" wrapText="1"/>
    </xf>
    <xf numFmtId="0" fontId="0" fillId="26" borderId="4" xfId="0" applyFill="1" applyBorder="1" applyAlignment="1">
      <alignment vertical="center"/>
    </xf>
    <xf numFmtId="0" fontId="0" fillId="26" borderId="5" xfId="0" applyFill="1" applyBorder="1" applyAlignment="1">
      <alignment horizontal="center" vertical="center"/>
    </xf>
    <xf numFmtId="0" fontId="0" fillId="0" borderId="0" xfId="0" applyAlignment="1" applyProtection="1">
      <alignment horizontal="center" vertical="center"/>
      <protection locked="0"/>
    </xf>
    <xf numFmtId="0" fontId="0" fillId="0" borderId="67" xfId="0" applyBorder="1" applyAlignment="1" applyProtection="1">
      <alignment horizontal="center" vertical="center"/>
      <protection locked="0"/>
    </xf>
    <xf numFmtId="0" fontId="43" fillId="0" borderId="0" xfId="0" applyFont="1" applyAlignment="1">
      <alignment horizontal="center" wrapText="1"/>
    </xf>
    <xf numFmtId="0" fontId="0" fillId="26" borderId="63" xfId="0" applyFill="1" applyBorder="1" applyAlignment="1">
      <alignment vertical="center"/>
    </xf>
    <xf numFmtId="0" fontId="0" fillId="26" borderId="59" xfId="0" applyFill="1" applyBorder="1" applyAlignment="1">
      <alignment horizontal="center" vertical="center"/>
    </xf>
    <xf numFmtId="0" fontId="42" fillId="32" borderId="4" xfId="0" applyFont="1" applyFill="1" applyBorder="1" applyAlignment="1">
      <alignment vertical="center"/>
    </xf>
    <xf numFmtId="0" fontId="31" fillId="30" borderId="4" xfId="0" applyFont="1" applyFill="1" applyBorder="1" applyAlignment="1">
      <alignment vertical="center"/>
    </xf>
    <xf numFmtId="0" fontId="18" fillId="0" borderId="0" xfId="0" applyFont="1" applyAlignment="1">
      <alignment horizontal="center" vertical="center" wrapText="1"/>
    </xf>
    <xf numFmtId="0" fontId="0" fillId="0" borderId="63" xfId="0" applyBorder="1" applyAlignment="1">
      <alignment vertical="center"/>
    </xf>
    <xf numFmtId="0" fontId="0" fillId="0" borderId="59" xfId="0" applyBorder="1" applyAlignment="1" applyProtection="1">
      <alignment horizontal="center" vertical="center"/>
      <protection locked="0"/>
    </xf>
    <xf numFmtId="0" fontId="0" fillId="0" borderId="62" xfId="0" applyBorder="1" applyAlignment="1">
      <alignment vertical="center"/>
    </xf>
    <xf numFmtId="0" fontId="0" fillId="0" borderId="60" xfId="0" applyBorder="1" applyAlignment="1" applyProtection="1">
      <alignment horizontal="center" vertical="center"/>
      <protection locked="0"/>
    </xf>
    <xf numFmtId="0" fontId="27" fillId="4" borderId="4" xfId="0" applyFont="1" applyFill="1" applyBorder="1" applyAlignment="1">
      <alignment vertical="center"/>
    </xf>
    <xf numFmtId="0" fontId="27" fillId="4" borderId="5" xfId="0" applyFont="1" applyFill="1" applyBorder="1" applyAlignment="1">
      <alignment vertical="center"/>
    </xf>
    <xf numFmtId="1" fontId="27" fillId="4" borderId="5" xfId="0" applyNumberFormat="1" applyFont="1" applyFill="1" applyBorder="1" applyAlignment="1">
      <alignment horizontal="center" vertical="center"/>
    </xf>
    <xf numFmtId="1" fontId="27" fillId="4" borderId="61" xfId="0" applyNumberFormat="1" applyFont="1" applyFill="1" applyBorder="1" applyAlignment="1">
      <alignment horizontal="center" vertical="center"/>
    </xf>
    <xf numFmtId="0" fontId="41" fillId="24" borderId="52" xfId="0" applyFont="1" applyFill="1" applyBorder="1" applyAlignment="1">
      <alignment horizontal="center" wrapText="1"/>
    </xf>
    <xf numFmtId="168" fontId="0" fillId="11" borderId="1" xfId="0" applyNumberFormat="1" applyFill="1" applyBorder="1" applyAlignment="1">
      <alignment horizontal="center" vertical="center" wrapText="1"/>
    </xf>
    <xf numFmtId="0" fontId="0" fillId="15" borderId="1" xfId="0" applyFill="1" applyBorder="1" applyAlignment="1">
      <alignment vertical="center" wrapText="1"/>
    </xf>
    <xf numFmtId="0" fontId="20" fillId="0" borderId="0" xfId="6"/>
    <xf numFmtId="0" fontId="45" fillId="18" borderId="17" xfId="0" quotePrefix="1" applyFont="1" applyFill="1" applyBorder="1" applyAlignment="1">
      <alignment horizontal="center" vertical="center" wrapText="1"/>
    </xf>
    <xf numFmtId="0" fontId="45" fillId="7" borderId="22" xfId="0" applyFont="1" applyFill="1" applyBorder="1" applyAlignment="1">
      <alignment vertical="center" wrapText="1"/>
    </xf>
    <xf numFmtId="168" fontId="45" fillId="18" borderId="17" xfId="0" applyNumberFormat="1" applyFont="1" applyFill="1" applyBorder="1" applyAlignment="1">
      <alignment horizontal="center" vertical="center" wrapText="1"/>
    </xf>
    <xf numFmtId="0" fontId="27" fillId="9" borderId="1" xfId="0" applyFont="1" applyFill="1" applyBorder="1" applyAlignment="1">
      <alignment horizontal="center" vertical="center" wrapText="1"/>
    </xf>
    <xf numFmtId="0" fontId="29" fillId="29" borderId="0" xfId="0" applyFont="1" applyFill="1" applyAlignment="1">
      <alignment horizontal="center" wrapText="1"/>
    </xf>
    <xf numFmtId="0" fontId="31" fillId="14" borderId="17" xfId="0" applyFont="1" applyFill="1" applyBorder="1" applyAlignment="1">
      <alignment horizontal="center" vertical="center" wrapText="1"/>
    </xf>
    <xf numFmtId="167" fontId="28" fillId="9" borderId="1" xfId="0" applyNumberFormat="1" applyFont="1" applyFill="1" applyBorder="1" applyAlignment="1">
      <alignment vertical="center" wrapText="1"/>
    </xf>
    <xf numFmtId="0" fontId="44" fillId="7" borderId="9" xfId="0" applyFont="1" applyFill="1" applyBorder="1" applyAlignment="1">
      <alignment horizontal="center" vertical="center" wrapText="1"/>
    </xf>
    <xf numFmtId="178" fontId="0" fillId="9" borderId="1" xfId="0" applyNumberFormat="1" applyFill="1" applyBorder="1" applyAlignment="1">
      <alignment vertical="center" wrapText="1"/>
    </xf>
    <xf numFmtId="1" fontId="10" fillId="0" borderId="0" xfId="5" applyNumberFormat="1" applyAlignment="1">
      <alignment vertical="center"/>
    </xf>
    <xf numFmtId="0" fontId="16" fillId="9" borderId="1" xfId="0" applyFont="1" applyFill="1" applyBorder="1" applyAlignment="1">
      <alignment vertical="center" wrapText="1"/>
    </xf>
    <xf numFmtId="10" fontId="31" fillId="11" borderId="33" xfId="10" applyNumberFormat="1" applyFont="1" applyFill="1" applyAlignment="1">
      <alignment horizontal="center" vertical="center" wrapText="1"/>
    </xf>
    <xf numFmtId="0" fontId="27" fillId="12" borderId="1" xfId="0" applyFont="1" applyFill="1" applyBorder="1" applyAlignment="1">
      <alignment horizontal="center" vertical="center" wrapText="1"/>
    </xf>
    <xf numFmtId="8" fontId="0" fillId="6" borderId="22" xfId="0" applyNumberFormat="1" applyFill="1" applyBorder="1" applyAlignment="1">
      <alignment horizontal="center" vertical="center" wrapText="1"/>
    </xf>
    <xf numFmtId="0" fontId="27" fillId="7" borderId="16" xfId="0" applyFont="1" applyFill="1" applyBorder="1" applyAlignment="1">
      <alignment horizontal="center" vertical="center" wrapText="1"/>
    </xf>
    <xf numFmtId="0" fontId="33" fillId="0" borderId="0" xfId="0" applyFont="1"/>
    <xf numFmtId="0" fontId="45" fillId="9" borderId="1" xfId="0" applyFont="1" applyFill="1" applyBorder="1" applyAlignment="1">
      <alignment horizontal="center" vertical="center" wrapText="1"/>
    </xf>
    <xf numFmtId="0" fontId="45" fillId="7" borderId="1" xfId="0" applyFont="1" applyFill="1" applyBorder="1" applyAlignment="1">
      <alignment horizontal="center" vertical="center" wrapText="1"/>
    </xf>
    <xf numFmtId="0" fontId="27" fillId="7" borderId="69" xfId="0" applyFont="1" applyFill="1" applyBorder="1" applyAlignment="1">
      <alignment horizontal="center" vertical="center" wrapText="1"/>
    </xf>
    <xf numFmtId="0" fontId="0" fillId="6" borderId="9" xfId="0" applyFill="1" applyBorder="1" applyAlignment="1">
      <alignment vertical="center" wrapText="1"/>
    </xf>
    <xf numFmtId="0" fontId="0" fillId="6" borderId="70" xfId="0" applyFill="1" applyBorder="1" applyAlignment="1">
      <alignment vertical="center" wrapText="1"/>
    </xf>
    <xf numFmtId="0" fontId="48" fillId="0" borderId="0" xfId="0" applyFont="1"/>
    <xf numFmtId="9" fontId="10" fillId="0" borderId="0" xfId="5" applyNumberFormat="1" applyAlignment="1">
      <alignment horizontal="center" vertical="center"/>
    </xf>
    <xf numFmtId="179" fontId="0" fillId="6" borderId="1" xfId="0" applyNumberFormat="1" applyFill="1" applyBorder="1" applyAlignment="1">
      <alignment horizontal="center" vertical="center" wrapText="1"/>
    </xf>
    <xf numFmtId="0" fontId="0" fillId="26" borderId="1" xfId="0" applyFill="1" applyBorder="1" applyAlignment="1">
      <alignment horizontal="center" wrapText="1"/>
    </xf>
    <xf numFmtId="0" fontId="0" fillId="0" borderId="1" xfId="0" applyBorder="1" applyAlignment="1">
      <alignment horizontal="center"/>
    </xf>
    <xf numFmtId="0" fontId="0" fillId="11" borderId="1" xfId="0" applyFill="1" applyBorder="1" applyAlignment="1">
      <alignment horizontal="center"/>
    </xf>
    <xf numFmtId="0" fontId="0" fillId="28" borderId="1" xfId="0" applyFill="1" applyBorder="1" applyAlignment="1">
      <alignment horizontal="center" wrapText="1"/>
    </xf>
    <xf numFmtId="0" fontId="47" fillId="11" borderId="1" xfId="0" applyFont="1" applyFill="1" applyBorder="1" applyAlignment="1">
      <alignment horizontal="center"/>
    </xf>
    <xf numFmtId="0" fontId="0" fillId="25" borderId="1" xfId="0" applyFill="1" applyBorder="1" applyAlignment="1">
      <alignment horizontal="center" wrapText="1"/>
    </xf>
    <xf numFmtId="0" fontId="0" fillId="0" borderId="20" xfId="0" applyBorder="1" applyAlignment="1">
      <alignment horizontal="center"/>
    </xf>
    <xf numFmtId="0" fontId="0" fillId="0" borderId="31" xfId="0" applyBorder="1" applyAlignment="1">
      <alignment horizontal="center"/>
    </xf>
    <xf numFmtId="0" fontId="0" fillId="0" borderId="21" xfId="0" applyBorder="1" applyAlignment="1">
      <alignment horizontal="center"/>
    </xf>
    <xf numFmtId="0" fontId="27" fillId="0" borderId="1" xfId="0" applyFont="1" applyBorder="1"/>
    <xf numFmtId="2" fontId="0" fillId="0" borderId="1" xfId="9" applyNumberFormat="1" applyFont="1" applyBorder="1" applyAlignment="1">
      <alignment horizontal="center"/>
    </xf>
    <xf numFmtId="2" fontId="0" fillId="11" borderId="1" xfId="9" applyNumberFormat="1" applyFont="1" applyFill="1" applyBorder="1" applyAlignment="1">
      <alignment horizontal="center"/>
    </xf>
    <xf numFmtId="2" fontId="0" fillId="0" borderId="1" xfId="0" applyNumberFormat="1" applyBorder="1" applyAlignment="1">
      <alignment horizontal="center"/>
    </xf>
    <xf numFmtId="2" fontId="47" fillId="11" borderId="1" xfId="9" applyNumberFormat="1" applyFont="1" applyFill="1" applyBorder="1" applyAlignment="1">
      <alignment horizontal="center"/>
    </xf>
    <xf numFmtId="2" fontId="47" fillId="0" borderId="1" xfId="9" applyNumberFormat="1" applyFont="1" applyBorder="1" applyAlignment="1">
      <alignment horizontal="center"/>
    </xf>
    <xf numFmtId="0" fontId="0" fillId="24" borderId="1" xfId="0" applyFill="1" applyBorder="1" applyAlignment="1">
      <alignment horizontal="center"/>
    </xf>
    <xf numFmtId="2" fontId="0" fillId="24" borderId="1" xfId="0" applyNumberFormat="1" applyFill="1" applyBorder="1" applyAlignment="1">
      <alignment horizontal="center" wrapText="1"/>
    </xf>
    <xf numFmtId="9" fontId="47" fillId="24" borderId="1" xfId="0" applyNumberFormat="1" applyFont="1" applyFill="1" applyBorder="1" applyAlignment="1">
      <alignment horizontal="center"/>
    </xf>
    <xf numFmtId="0" fontId="0" fillId="24" borderId="1" xfId="0" applyFill="1" applyBorder="1" applyAlignment="1">
      <alignment horizontal="center" wrapText="1"/>
    </xf>
    <xf numFmtId="178" fontId="0" fillId="24" borderId="1" xfId="0" applyNumberFormat="1" applyFill="1" applyBorder="1" applyAlignment="1">
      <alignment horizontal="center"/>
    </xf>
    <xf numFmtId="168" fontId="0" fillId="24" borderId="1" xfId="0" applyNumberFormat="1" applyFill="1" applyBorder="1" applyAlignment="1">
      <alignment horizontal="center"/>
    </xf>
    <xf numFmtId="168" fontId="47" fillId="24" borderId="1" xfId="0" applyNumberFormat="1" applyFont="1" applyFill="1" applyBorder="1" applyAlignment="1">
      <alignment horizontal="center"/>
    </xf>
    <xf numFmtId="9" fontId="0" fillId="0" borderId="0" xfId="0" applyNumberFormat="1" applyAlignment="1">
      <alignment horizontal="center"/>
    </xf>
    <xf numFmtId="0" fontId="49" fillId="0" borderId="0" xfId="0" applyFont="1" applyAlignment="1">
      <alignment vertical="center"/>
    </xf>
    <xf numFmtId="0" fontId="27" fillId="0" borderId="0" xfId="0" applyFont="1" applyAlignment="1">
      <alignment horizontal="right"/>
    </xf>
    <xf numFmtId="168" fontId="0" fillId="0" borderId="0" xfId="0" applyNumberFormat="1" applyAlignment="1">
      <alignment horizontal="center"/>
    </xf>
    <xf numFmtId="0" fontId="0" fillId="0" borderId="1" xfId="0" applyBorder="1"/>
    <xf numFmtId="168" fontId="0" fillId="0" borderId="1" xfId="0" applyNumberFormat="1" applyBorder="1" applyAlignment="1">
      <alignment horizontal="center"/>
    </xf>
    <xf numFmtId="168" fontId="0" fillId="0" borderId="10" xfId="0" applyNumberFormat="1" applyBorder="1" applyAlignment="1">
      <alignment horizontal="center"/>
    </xf>
    <xf numFmtId="10" fontId="18" fillId="0" borderId="0" xfId="0" applyNumberFormat="1" applyFont="1" applyAlignment="1">
      <alignment horizontal="center"/>
    </xf>
    <xf numFmtId="10" fontId="18" fillId="0" borderId="1" xfId="0" applyNumberFormat="1" applyFont="1" applyBorder="1" applyAlignment="1">
      <alignment horizontal="center"/>
    </xf>
    <xf numFmtId="10" fontId="18" fillId="0" borderId="10" xfId="0" applyNumberFormat="1" applyFont="1" applyBorder="1" applyAlignment="1">
      <alignment horizontal="center"/>
    </xf>
    <xf numFmtId="0" fontId="0" fillId="0" borderId="51" xfId="0" applyBorder="1"/>
    <xf numFmtId="168" fontId="0" fillId="0" borderId="51" xfId="0" applyNumberFormat="1" applyBorder="1" applyAlignment="1">
      <alignment horizontal="center"/>
    </xf>
    <xf numFmtId="168" fontId="0" fillId="0" borderId="12" xfId="0" applyNumberFormat="1" applyBorder="1" applyAlignment="1">
      <alignment horizontal="center"/>
    </xf>
    <xf numFmtId="0" fontId="27" fillId="0" borderId="49" xfId="0" applyFont="1" applyBorder="1" applyAlignment="1">
      <alignment horizontal="center" vertical="center" wrapText="1"/>
    </xf>
    <xf numFmtId="0" fontId="27" fillId="0" borderId="50" xfId="0" applyFont="1" applyBorder="1" applyAlignment="1">
      <alignment horizontal="center" vertical="center" wrapText="1"/>
    </xf>
    <xf numFmtId="0" fontId="27" fillId="0" borderId="0" xfId="5" applyFont="1" applyAlignment="1">
      <alignment vertical="center"/>
    </xf>
    <xf numFmtId="0" fontId="0" fillId="0" borderId="1" xfId="0" applyBorder="1" applyAlignment="1">
      <alignment vertical="center" wrapText="1"/>
    </xf>
    <xf numFmtId="0" fontId="27" fillId="7" borderId="0" xfId="0" applyFont="1" applyFill="1" applyAlignment="1">
      <alignment horizontal="center" vertical="center" wrapText="1"/>
    </xf>
    <xf numFmtId="0" fontId="0" fillId="6" borderId="0" xfId="0" applyFill="1" applyAlignment="1">
      <alignment vertical="center" wrapText="1"/>
    </xf>
    <xf numFmtId="167" fontId="0" fillId="6" borderId="0" xfId="0" applyNumberFormat="1" applyFill="1" applyAlignment="1">
      <alignment horizontal="center" vertical="center" wrapText="1"/>
    </xf>
    <xf numFmtId="0" fontId="45" fillId="0" borderId="1" xfId="0" applyFont="1" applyBorder="1" applyAlignment="1">
      <alignment horizontal="center" vertical="center" wrapText="1"/>
    </xf>
    <xf numFmtId="0" fontId="0" fillId="0" borderId="0" xfId="0" applyAlignment="1">
      <alignment horizontal="left" vertical="center" indent="1"/>
    </xf>
    <xf numFmtId="9" fontId="16" fillId="0" borderId="0" xfId="0" applyNumberFormat="1" applyFont="1" applyAlignment="1">
      <alignment vertical="center"/>
    </xf>
    <xf numFmtId="0" fontId="0" fillId="0" borderId="0" xfId="17" applyFont="1"/>
    <xf numFmtId="0" fontId="0" fillId="0" borderId="6" xfId="17" applyFont="1" applyBorder="1"/>
    <xf numFmtId="0" fontId="0" fillId="0" borderId="75" xfId="17" applyFont="1" applyBorder="1" applyAlignment="1">
      <alignment horizontal="center"/>
    </xf>
    <xf numFmtId="0" fontId="0" fillId="0" borderId="31" xfId="17" applyFont="1" applyBorder="1" applyAlignment="1">
      <alignment horizontal="center"/>
    </xf>
    <xf numFmtId="0" fontId="0" fillId="0" borderId="76" xfId="17" applyFont="1" applyBorder="1" applyAlignment="1">
      <alignment horizontal="center"/>
    </xf>
    <xf numFmtId="0" fontId="0" fillId="0" borderId="75" xfId="17" applyFont="1" applyBorder="1"/>
    <xf numFmtId="0" fontId="0" fillId="0" borderId="31" xfId="17" applyFont="1" applyBorder="1"/>
    <xf numFmtId="0" fontId="0" fillId="0" borderId="76" xfId="17" applyFont="1" applyBorder="1"/>
    <xf numFmtId="0" fontId="0" fillId="28" borderId="68" xfId="17" applyFont="1" applyFill="1" applyBorder="1"/>
    <xf numFmtId="0" fontId="0" fillId="0" borderId="66" xfId="17" applyFont="1" applyBorder="1"/>
    <xf numFmtId="0" fontId="0" fillId="0" borderId="57" xfId="17" applyFont="1" applyBorder="1"/>
    <xf numFmtId="10" fontId="0" fillId="0" borderId="62" xfId="17" applyNumberFormat="1" applyFont="1" applyBorder="1"/>
    <xf numFmtId="10" fontId="0" fillId="0" borderId="60" xfId="17" applyNumberFormat="1" applyFont="1" applyBorder="1"/>
    <xf numFmtId="10" fontId="0" fillId="0" borderId="71" xfId="17" applyNumberFormat="1" applyFont="1" applyBorder="1"/>
    <xf numFmtId="0" fontId="0" fillId="0" borderId="63" xfId="17" applyFont="1" applyBorder="1"/>
    <xf numFmtId="0" fontId="27" fillId="0" borderId="1" xfId="17" applyFont="1" applyBorder="1" applyAlignment="1">
      <alignment horizontal="center"/>
    </xf>
    <xf numFmtId="0" fontId="27" fillId="0" borderId="10" xfId="17" applyFont="1" applyBorder="1" applyAlignment="1">
      <alignment horizontal="center"/>
    </xf>
    <xf numFmtId="0" fontId="0" fillId="0" borderId="72" xfId="17" applyFont="1" applyBorder="1" applyAlignment="1">
      <alignment horizontal="center"/>
    </xf>
    <xf numFmtId="0" fontId="0" fillId="0" borderId="57" xfId="17" applyFont="1" applyBorder="1" applyAlignment="1">
      <alignment horizontal="center"/>
    </xf>
    <xf numFmtId="178" fontId="0" fillId="0" borderId="31" xfId="17" applyNumberFormat="1" applyFont="1" applyBorder="1" applyAlignment="1">
      <alignment horizontal="center"/>
    </xf>
    <xf numFmtId="178" fontId="0" fillId="0" borderId="57" xfId="17" applyNumberFormat="1" applyFont="1" applyBorder="1" applyAlignment="1">
      <alignment horizontal="center"/>
    </xf>
    <xf numFmtId="0" fontId="0" fillId="0" borderId="78" xfId="17" applyFont="1" applyBorder="1" applyAlignment="1">
      <alignment horizontal="center"/>
    </xf>
    <xf numFmtId="178" fontId="0" fillId="0" borderId="60" xfId="17" applyNumberFormat="1" applyFont="1" applyBorder="1" applyAlignment="1">
      <alignment horizontal="center"/>
    </xf>
    <xf numFmtId="0" fontId="45" fillId="12" borderId="1" xfId="0" applyFont="1" applyFill="1" applyBorder="1" applyAlignment="1">
      <alignment horizontal="center" vertical="center" wrapText="1"/>
    </xf>
    <xf numFmtId="0" fontId="0" fillId="5" borderId="9" xfId="17" applyFont="1" applyFill="1" applyBorder="1" applyAlignment="1">
      <alignment horizontal="center"/>
    </xf>
    <xf numFmtId="0" fontId="0" fillId="5" borderId="1" xfId="17" applyFont="1" applyFill="1" applyBorder="1" applyAlignment="1">
      <alignment horizontal="center"/>
    </xf>
    <xf numFmtId="0" fontId="28" fillId="5" borderId="1" xfId="17" applyFont="1" applyFill="1" applyBorder="1" applyAlignment="1">
      <alignment horizontal="center" vertical="center"/>
    </xf>
    <xf numFmtId="0" fontId="47" fillId="5" borderId="1" xfId="17" applyFont="1" applyFill="1" applyBorder="1" applyAlignment="1">
      <alignment horizontal="center"/>
    </xf>
    <xf numFmtId="0" fontId="27" fillId="5" borderId="1" xfId="17" applyFont="1" applyFill="1" applyBorder="1" applyAlignment="1">
      <alignment horizontal="center"/>
    </xf>
    <xf numFmtId="0" fontId="41" fillId="5" borderId="1" xfId="17" applyFont="1" applyFill="1" applyBorder="1" applyAlignment="1">
      <alignment horizontal="center"/>
    </xf>
    <xf numFmtId="178" fontId="27" fillId="5" borderId="1" xfId="17" applyNumberFormat="1" applyFont="1" applyFill="1" applyBorder="1" applyAlignment="1">
      <alignment horizontal="center"/>
    </xf>
    <xf numFmtId="0" fontId="26" fillId="35" borderId="79" xfId="0" applyFont="1" applyFill="1" applyBorder="1" applyAlignment="1">
      <alignment horizontal="center"/>
    </xf>
    <xf numFmtId="0" fontId="26" fillId="35" borderId="1" xfId="0" applyFont="1" applyFill="1" applyBorder="1" applyAlignment="1">
      <alignment horizontal="center"/>
    </xf>
    <xf numFmtId="0" fontId="26" fillId="36" borderId="80" xfId="0" applyFont="1" applyFill="1" applyBorder="1" applyAlignment="1">
      <alignment horizontal="center"/>
    </xf>
    <xf numFmtId="0" fontId="28" fillId="35" borderId="79" xfId="0" applyFont="1" applyFill="1" applyBorder="1" applyAlignment="1">
      <alignment horizontal="center"/>
    </xf>
    <xf numFmtId="10" fontId="28" fillId="0" borderId="1" xfId="0" applyNumberFormat="1" applyFont="1" applyBorder="1" applyAlignment="1">
      <alignment horizontal="center"/>
    </xf>
    <xf numFmtId="10" fontId="28" fillId="35" borderId="80" xfId="0" applyNumberFormat="1" applyFont="1" applyFill="1" applyBorder="1" applyAlignment="1">
      <alignment horizontal="center"/>
    </xf>
    <xf numFmtId="0" fontId="28" fillId="35" borderId="81" xfId="0" applyFont="1" applyFill="1" applyBorder="1" applyAlignment="1">
      <alignment horizontal="center"/>
    </xf>
    <xf numFmtId="10" fontId="28" fillId="0" borderId="82" xfId="0" applyNumberFormat="1" applyFont="1" applyBorder="1" applyAlignment="1">
      <alignment horizontal="center"/>
    </xf>
    <xf numFmtId="10" fontId="28" fillId="0" borderId="81" xfId="0" applyNumberFormat="1" applyFont="1" applyBorder="1" applyAlignment="1">
      <alignment horizontal="center"/>
    </xf>
    <xf numFmtId="10" fontId="28" fillId="35" borderId="83" xfId="0" applyNumberFormat="1" applyFont="1" applyFill="1" applyBorder="1" applyAlignment="1">
      <alignment horizontal="center"/>
    </xf>
    <xf numFmtId="0" fontId="28" fillId="35" borderId="17" xfId="0" applyFont="1" applyFill="1" applyBorder="1" applyAlignment="1">
      <alignment horizontal="center"/>
    </xf>
    <xf numFmtId="10" fontId="28" fillId="0" borderId="42" xfId="0" applyNumberFormat="1" applyFont="1" applyBorder="1" applyAlignment="1">
      <alignment horizontal="center"/>
    </xf>
    <xf numFmtId="10" fontId="28" fillId="0" borderId="17" xfId="0" applyNumberFormat="1" applyFont="1" applyBorder="1" applyAlignment="1">
      <alignment horizontal="center"/>
    </xf>
    <xf numFmtId="10" fontId="28" fillId="35" borderId="84" xfId="0" applyNumberFormat="1" applyFont="1" applyFill="1" applyBorder="1" applyAlignment="1">
      <alignment horizontal="center"/>
    </xf>
    <xf numFmtId="0" fontId="28" fillId="35" borderId="1" xfId="0" applyFont="1" applyFill="1" applyBorder="1" applyAlignment="1">
      <alignment horizontal="center"/>
    </xf>
    <xf numFmtId="10" fontId="28" fillId="0" borderId="9" xfId="0" applyNumberFormat="1" applyFont="1" applyBorder="1" applyAlignment="1">
      <alignment horizontal="center"/>
    </xf>
    <xf numFmtId="0" fontId="30" fillId="14" borderId="86" xfId="0" applyFont="1" applyFill="1" applyBorder="1" applyAlignment="1">
      <alignment horizontal="center" vertical="center" wrapText="1"/>
    </xf>
    <xf numFmtId="0" fontId="0" fillId="15" borderId="86" xfId="0" applyFill="1" applyBorder="1" applyAlignment="1">
      <alignment vertical="center" wrapText="1"/>
    </xf>
    <xf numFmtId="0" fontId="0" fillId="9" borderId="87" xfId="0" applyFill="1" applyBorder="1" applyAlignment="1">
      <alignment vertical="center" wrapText="1"/>
    </xf>
    <xf numFmtId="0" fontId="29" fillId="14" borderId="21" xfId="0" quotePrefix="1" applyFont="1" applyFill="1" applyBorder="1" applyAlignment="1">
      <alignment horizontal="center" vertical="center" wrapText="1"/>
    </xf>
    <xf numFmtId="0" fontId="28" fillId="9" borderId="1" xfId="0" applyFont="1" applyFill="1" applyBorder="1" applyAlignment="1">
      <alignment vertical="center" wrapText="1"/>
    </xf>
    <xf numFmtId="0" fontId="26" fillId="9" borderId="1" xfId="0" applyFont="1" applyFill="1" applyBorder="1" applyAlignment="1">
      <alignment vertical="center" wrapText="1"/>
    </xf>
    <xf numFmtId="167" fontId="26" fillId="9" borderId="1" xfId="0" applyNumberFormat="1" applyFont="1" applyFill="1" applyBorder="1" applyAlignment="1">
      <alignment vertical="center" wrapText="1"/>
    </xf>
    <xf numFmtId="0" fontId="31" fillId="14" borderId="21" xfId="0" quotePrefix="1" applyFont="1" applyFill="1" applyBorder="1" applyAlignment="1">
      <alignment horizontal="center" vertical="center" wrapText="1"/>
    </xf>
    <xf numFmtId="0" fontId="0" fillId="9" borderId="22" xfId="0" applyFill="1" applyBorder="1" applyAlignment="1">
      <alignment vertical="center"/>
    </xf>
    <xf numFmtId="0" fontId="26" fillId="7" borderId="88" xfId="0" applyFont="1" applyFill="1" applyBorder="1" applyAlignment="1">
      <alignment vertical="center" wrapText="1"/>
    </xf>
    <xf numFmtId="0" fontId="0" fillId="9" borderId="22" xfId="0" applyFill="1" applyBorder="1" applyAlignment="1">
      <alignment vertical="center" wrapText="1"/>
    </xf>
    <xf numFmtId="0" fontId="27" fillId="7" borderId="53" xfId="0" applyFont="1" applyFill="1" applyBorder="1" applyAlignment="1">
      <alignment horizontal="center" vertical="center" wrapText="1"/>
    </xf>
    <xf numFmtId="0" fontId="30" fillId="14" borderId="54" xfId="0" applyFont="1" applyFill="1" applyBorder="1" applyAlignment="1">
      <alignment horizontal="center" vertical="center" wrapText="1"/>
    </xf>
    <xf numFmtId="0" fontId="26" fillId="7" borderId="54" xfId="0" applyFont="1" applyFill="1" applyBorder="1" applyAlignment="1">
      <alignment vertical="center" wrapText="1"/>
    </xf>
    <xf numFmtId="0" fontId="27" fillId="9" borderId="91" xfId="0" applyFont="1" applyFill="1" applyBorder="1" applyAlignment="1">
      <alignment vertical="center" wrapText="1"/>
    </xf>
    <xf numFmtId="0" fontId="27" fillId="7" borderId="92" xfId="0" applyFont="1" applyFill="1" applyBorder="1" applyAlignment="1">
      <alignment horizontal="center" vertical="center" wrapText="1"/>
    </xf>
    <xf numFmtId="0" fontId="30" fillId="14" borderId="37" xfId="0" applyFont="1" applyFill="1" applyBorder="1" applyAlignment="1">
      <alignment horizontal="center" vertical="center" wrapText="1"/>
    </xf>
    <xf numFmtId="0" fontId="27" fillId="9" borderId="39" xfId="0" applyFont="1" applyFill="1" applyBorder="1" applyAlignment="1">
      <alignment vertical="center" wrapText="1"/>
    </xf>
    <xf numFmtId="0" fontId="0" fillId="9" borderId="95" xfId="0" applyFill="1" applyBorder="1" applyAlignment="1">
      <alignment vertical="center" wrapText="1"/>
    </xf>
    <xf numFmtId="0" fontId="0" fillId="9" borderId="55" xfId="0" applyFill="1" applyBorder="1" applyAlignment="1">
      <alignment vertical="center" wrapText="1"/>
    </xf>
    <xf numFmtId="0" fontId="0" fillId="7" borderId="85" xfId="0" applyFill="1" applyBorder="1" applyAlignment="1">
      <alignment horizontal="center" vertical="center" wrapText="1"/>
    </xf>
    <xf numFmtId="0" fontId="51" fillId="9" borderId="22" xfId="0" applyFont="1" applyFill="1" applyBorder="1" applyAlignment="1">
      <alignment vertical="center"/>
    </xf>
    <xf numFmtId="0" fontId="0" fillId="7" borderId="53" xfId="0" applyFill="1" applyBorder="1" applyAlignment="1">
      <alignment horizontal="center" vertical="center" wrapText="1"/>
    </xf>
    <xf numFmtId="0" fontId="0" fillId="15" borderId="54" xfId="0" applyFill="1" applyBorder="1" applyAlignment="1">
      <alignment vertical="center" wrapText="1"/>
    </xf>
    <xf numFmtId="0" fontId="26" fillId="7" borderId="19" xfId="0" applyFont="1" applyFill="1" applyBorder="1" applyAlignment="1">
      <alignment vertical="center" wrapText="1"/>
    </xf>
    <xf numFmtId="0" fontId="27" fillId="7" borderId="96" xfId="0" applyFont="1" applyFill="1" applyBorder="1" applyAlignment="1">
      <alignment horizontal="center" vertical="center" wrapText="1"/>
    </xf>
    <xf numFmtId="0" fontId="30" fillId="14" borderId="19" xfId="0" applyFont="1" applyFill="1" applyBorder="1" applyAlignment="1">
      <alignment horizontal="center" vertical="center" wrapText="1"/>
    </xf>
    <xf numFmtId="0" fontId="27" fillId="9" borderId="58" xfId="0" applyFont="1" applyFill="1" applyBorder="1" applyAlignment="1">
      <alignment vertical="center" wrapText="1"/>
    </xf>
    <xf numFmtId="0" fontId="0" fillId="9" borderId="97" xfId="0" applyFill="1" applyBorder="1" applyAlignment="1">
      <alignment vertical="center" wrapText="1"/>
    </xf>
    <xf numFmtId="0" fontId="31" fillId="14" borderId="21" xfId="0" applyFont="1" applyFill="1" applyBorder="1" applyAlignment="1">
      <alignment horizontal="center" vertical="center" wrapText="1"/>
    </xf>
    <xf numFmtId="0" fontId="16" fillId="12" borderId="0" xfId="0" applyFont="1" applyFill="1" applyAlignment="1">
      <alignment vertical="center"/>
    </xf>
    <xf numFmtId="0" fontId="16" fillId="12" borderId="1" xfId="0" applyFont="1" applyFill="1" applyBorder="1" applyAlignment="1">
      <alignment vertical="center" wrapText="1"/>
    </xf>
    <xf numFmtId="0" fontId="0" fillId="38" borderId="1" xfId="0" applyFill="1" applyBorder="1" applyAlignment="1">
      <alignment vertical="center" wrapText="1"/>
    </xf>
    <xf numFmtId="10" fontId="45" fillId="18" borderId="17" xfId="0" applyNumberFormat="1" applyFont="1" applyFill="1" applyBorder="1" applyAlignment="1">
      <alignment horizontal="center" vertical="center" wrapText="1"/>
    </xf>
    <xf numFmtId="10" fontId="0" fillId="11" borderId="1" xfId="0" applyNumberFormat="1" applyFill="1" applyBorder="1" applyAlignment="1">
      <alignment horizontal="center" vertical="center" wrapText="1"/>
    </xf>
    <xf numFmtId="177" fontId="0" fillId="9" borderId="1" xfId="0" applyNumberFormat="1" applyFill="1" applyBorder="1" applyAlignment="1">
      <alignment vertical="center" wrapText="1"/>
    </xf>
    <xf numFmtId="167" fontId="0" fillId="38" borderId="1" xfId="0" applyNumberFormat="1" applyFill="1" applyBorder="1" applyAlignment="1">
      <alignment vertical="center" wrapText="1"/>
    </xf>
    <xf numFmtId="0" fontId="32" fillId="0" borderId="0" xfId="6" applyFont="1"/>
    <xf numFmtId="8" fontId="0" fillId="11" borderId="1" xfId="0" applyNumberFormat="1" applyFill="1" applyBorder="1" applyAlignment="1">
      <alignment horizontal="center" vertical="center" wrapText="1"/>
    </xf>
    <xf numFmtId="0" fontId="0" fillId="9" borderId="15" xfId="0" applyFill="1" applyBorder="1" applyAlignment="1">
      <alignment vertical="center" wrapText="1"/>
    </xf>
    <xf numFmtId="0" fontId="0" fillId="9" borderId="17" xfId="0" applyFill="1" applyBorder="1" applyAlignment="1">
      <alignment vertical="center"/>
    </xf>
    <xf numFmtId="0" fontId="0" fillId="19" borderId="1" xfId="0" applyFill="1" applyBorder="1" applyAlignment="1">
      <alignment vertical="center" wrapText="1"/>
    </xf>
    <xf numFmtId="180" fontId="0" fillId="9" borderId="1" xfId="0" applyNumberFormat="1" applyFill="1" applyBorder="1" applyAlignment="1">
      <alignment vertical="center" wrapText="1"/>
    </xf>
    <xf numFmtId="180" fontId="0" fillId="9" borderId="1" xfId="0" applyNumberFormat="1" applyFill="1" applyBorder="1" applyAlignment="1">
      <alignment horizontal="right" vertical="center" wrapText="1"/>
    </xf>
    <xf numFmtId="181" fontId="26" fillId="9" borderId="1" xfId="0" applyNumberFormat="1" applyFont="1" applyFill="1" applyBorder="1" applyAlignment="1">
      <alignment horizontal="right" vertical="center" wrapText="1"/>
    </xf>
    <xf numFmtId="0" fontId="0" fillId="19" borderId="22" xfId="0" applyFill="1" applyBorder="1" applyAlignment="1">
      <alignment vertical="center" wrapText="1"/>
    </xf>
    <xf numFmtId="0" fontId="51" fillId="7" borderId="22" xfId="0" applyFont="1" applyFill="1" applyBorder="1" applyAlignment="1">
      <alignment vertical="center" wrapText="1"/>
    </xf>
    <xf numFmtId="0" fontId="41" fillId="12" borderId="1" xfId="0" applyFont="1" applyFill="1" applyBorder="1" applyAlignment="1">
      <alignment horizontal="center" vertical="center" wrapText="1"/>
    </xf>
    <xf numFmtId="0" fontId="0" fillId="17" borderId="0" xfId="0" applyFill="1" applyAlignment="1">
      <alignment horizontal="center"/>
    </xf>
    <xf numFmtId="0" fontId="0" fillId="9" borderId="18" xfId="0" applyFill="1" applyBorder="1" applyAlignment="1">
      <alignment vertical="center"/>
    </xf>
    <xf numFmtId="182" fontId="0" fillId="0" borderId="0" xfId="0" applyNumberFormat="1" applyAlignment="1">
      <alignment vertical="center"/>
    </xf>
    <xf numFmtId="8" fontId="28" fillId="9" borderId="1" xfId="0" applyNumberFormat="1" applyFont="1" applyFill="1" applyBorder="1" applyAlignment="1">
      <alignment vertical="center" wrapText="1"/>
    </xf>
    <xf numFmtId="180" fontId="28" fillId="9" borderId="1" xfId="0" applyNumberFormat="1" applyFont="1" applyFill="1" applyBorder="1" applyAlignment="1">
      <alignment vertical="center" wrapText="1"/>
    </xf>
    <xf numFmtId="182" fontId="28" fillId="9" borderId="1" xfId="0" applyNumberFormat="1" applyFont="1" applyFill="1" applyBorder="1" applyAlignment="1">
      <alignment vertical="center"/>
    </xf>
    <xf numFmtId="182" fontId="28" fillId="9" borderId="1" xfId="0" applyNumberFormat="1" applyFont="1" applyFill="1" applyBorder="1" applyAlignment="1">
      <alignment vertical="center" wrapText="1"/>
    </xf>
    <xf numFmtId="167" fontId="0" fillId="6" borderId="15" xfId="0" applyNumberFormat="1" applyFill="1" applyBorder="1" applyAlignment="1">
      <alignment vertical="center" wrapText="1"/>
    </xf>
    <xf numFmtId="9" fontId="0" fillId="6" borderId="15" xfId="9" applyFont="1" applyFill="1" applyBorder="1" applyAlignment="1">
      <alignment vertical="center" wrapText="1"/>
    </xf>
    <xf numFmtId="0" fontId="31" fillId="30" borderId="4" xfId="0" applyFont="1" applyFill="1" applyBorder="1" applyAlignment="1">
      <alignment horizontal="center"/>
    </xf>
    <xf numFmtId="0" fontId="15" fillId="0" borderId="0" xfId="0" applyFont="1" applyAlignment="1" applyProtection="1">
      <alignment horizontal="center" vertical="center"/>
      <protection locked="0"/>
    </xf>
    <xf numFmtId="0" fontId="15" fillId="0" borderId="60" xfId="0" applyFont="1" applyBorder="1" applyAlignment="1" applyProtection="1">
      <alignment horizontal="center" vertical="center"/>
      <protection locked="0"/>
    </xf>
    <xf numFmtId="0" fontId="29" fillId="30" borderId="5" xfId="0" applyFont="1" applyFill="1" applyBorder="1" applyAlignment="1">
      <alignment horizontal="center" vertical="center"/>
    </xf>
    <xf numFmtId="1" fontId="29" fillId="30" borderId="5" xfId="0" applyNumberFormat="1" applyFont="1" applyFill="1" applyBorder="1" applyAlignment="1">
      <alignment horizontal="center" vertical="center"/>
    </xf>
    <xf numFmtId="1" fontId="12" fillId="11" borderId="5" xfId="0" applyNumberFormat="1" applyFont="1" applyFill="1" applyBorder="1" applyAlignment="1">
      <alignment horizontal="center" vertical="center"/>
    </xf>
    <xf numFmtId="9" fontId="51" fillId="0" borderId="9" xfId="0" applyNumberFormat="1" applyFont="1" applyBorder="1" applyAlignment="1">
      <alignment horizontal="center"/>
    </xf>
    <xf numFmtId="10" fontId="16" fillId="12" borderId="1" xfId="0" applyNumberFormat="1" applyFont="1" applyFill="1" applyBorder="1"/>
    <xf numFmtId="166" fontId="18" fillId="0" borderId="1" xfId="26" applyNumberFormat="1" applyFont="1" applyFill="1" applyBorder="1" applyAlignment="1">
      <alignment wrapText="1"/>
    </xf>
    <xf numFmtId="10" fontId="18" fillId="0" borderId="1" xfId="26" applyNumberFormat="1" applyFont="1" applyFill="1" applyBorder="1" applyAlignment="1">
      <alignment wrapText="1"/>
    </xf>
    <xf numFmtId="184" fontId="18" fillId="0" borderId="1" xfId="25" applyNumberFormat="1" applyFont="1" applyFill="1" applyBorder="1" applyAlignment="1">
      <alignment wrapText="1"/>
    </xf>
    <xf numFmtId="0" fontId="23" fillId="40" borderId="1" xfId="0" applyFont="1" applyFill="1" applyBorder="1" applyAlignment="1">
      <alignment horizontal="center" vertical="center" wrapText="1" readingOrder="1"/>
    </xf>
    <xf numFmtId="0" fontId="23" fillId="0" borderId="1" xfId="0" applyFont="1" applyBorder="1" applyAlignment="1">
      <alignment horizontal="center" vertical="center" wrapText="1" readingOrder="1"/>
    </xf>
    <xf numFmtId="186" fontId="0" fillId="0" borderId="1" xfId="16" applyNumberFormat="1" applyFont="1" applyFill="1" applyBorder="1"/>
    <xf numFmtId="2" fontId="18" fillId="0" borderId="1" xfId="16" applyNumberFormat="1" applyFont="1" applyFill="1" applyBorder="1" applyAlignment="1">
      <alignment wrapText="1"/>
    </xf>
    <xf numFmtId="168" fontId="18" fillId="0" borderId="1" xfId="16" applyNumberFormat="1" applyFont="1" applyFill="1" applyBorder="1" applyAlignment="1">
      <alignment wrapText="1"/>
    </xf>
    <xf numFmtId="0" fontId="0" fillId="0" borderId="99" xfId="0" applyBorder="1"/>
    <xf numFmtId="0" fontId="18" fillId="0" borderId="15" xfId="0" applyFont="1" applyBorder="1" applyAlignment="1">
      <alignment horizontal="center" vertical="center" wrapText="1"/>
    </xf>
    <xf numFmtId="0" fontId="24" fillId="0" borderId="1" xfId="0" applyFont="1" applyBorder="1" applyAlignment="1">
      <alignment horizontal="center" vertical="center" wrapText="1" readingOrder="1"/>
    </xf>
    <xf numFmtId="0" fontId="17" fillId="2" borderId="2" xfId="0" applyFont="1" applyFill="1" applyBorder="1" applyAlignment="1">
      <alignment horizontal="center" vertical="center" wrapText="1"/>
    </xf>
    <xf numFmtId="0" fontId="0" fillId="0" borderId="3" xfId="0" applyBorder="1" applyAlignment="1">
      <alignment horizontal="center" vertical="center" wrapText="1"/>
    </xf>
    <xf numFmtId="0" fontId="18" fillId="0" borderId="0" xfId="0" applyFont="1" applyAlignment="1">
      <alignment wrapText="1"/>
    </xf>
    <xf numFmtId="0" fontId="17" fillId="2" borderId="7" xfId="0" applyFont="1" applyFill="1" applyBorder="1" applyAlignment="1">
      <alignment vertical="center" wrapText="1"/>
    </xf>
    <xf numFmtId="4" fontId="18" fillId="0" borderId="8" xfId="0" applyNumberFormat="1" applyFont="1" applyBorder="1" applyAlignment="1">
      <alignment wrapText="1"/>
    </xf>
    <xf numFmtId="0" fontId="17" fillId="2" borderId="9" xfId="0" applyFont="1" applyFill="1" applyBorder="1" applyAlignment="1">
      <alignment vertical="center" wrapText="1"/>
    </xf>
    <xf numFmtId="4" fontId="18" fillId="0" borderId="10" xfId="0" applyNumberFormat="1" applyFont="1" applyBorder="1" applyAlignment="1">
      <alignment wrapText="1"/>
    </xf>
    <xf numFmtId="4" fontId="0" fillId="0" borderId="10" xfId="0" applyNumberFormat="1" applyBorder="1"/>
    <xf numFmtId="0" fontId="17" fillId="2" borderId="11" xfId="0" applyFont="1" applyFill="1" applyBorder="1" applyAlignment="1">
      <alignment vertical="center" wrapText="1"/>
    </xf>
    <xf numFmtId="4" fontId="0" fillId="0" borderId="12" xfId="0" applyNumberFormat="1" applyBorder="1" applyAlignment="1">
      <alignment horizontal="right" vertical="center" wrapText="1"/>
    </xf>
    <xf numFmtId="4" fontId="18" fillId="0" borderId="0" xfId="0" applyNumberFormat="1" applyFont="1" applyAlignment="1">
      <alignment wrapText="1"/>
    </xf>
    <xf numFmtId="185" fontId="18" fillId="0" borderId="10" xfId="0" applyNumberFormat="1" applyFont="1" applyBorder="1" applyAlignment="1">
      <alignment wrapText="1"/>
    </xf>
    <xf numFmtId="4" fontId="21" fillId="0" borderId="8" xfId="0" applyNumberFormat="1" applyFont="1" applyBorder="1" applyAlignment="1">
      <alignment wrapText="1"/>
    </xf>
    <xf numFmtId="3" fontId="22" fillId="0" borderId="12" xfId="0" applyNumberFormat="1" applyFont="1" applyBorder="1" applyAlignment="1">
      <alignment horizontal="right" vertical="center" wrapText="1"/>
    </xf>
    <xf numFmtId="0" fontId="12" fillId="4" borderId="6" xfId="0" applyFont="1" applyFill="1" applyBorder="1" applyAlignment="1">
      <alignment horizontal="center" vertical="center"/>
    </xf>
    <xf numFmtId="0" fontId="17" fillId="2" borderId="13" xfId="0" applyFont="1" applyFill="1" applyBorder="1" applyAlignment="1">
      <alignment vertical="center" wrapText="1"/>
    </xf>
    <xf numFmtId="4" fontId="21" fillId="0" borderId="14" xfId="0" applyNumberFormat="1" applyFont="1" applyBorder="1" applyAlignment="1">
      <alignment wrapText="1"/>
    </xf>
    <xf numFmtId="10" fontId="26" fillId="0" borderId="9" xfId="0" applyNumberFormat="1" applyFont="1" applyBorder="1" applyAlignment="1">
      <alignment horizontal="center"/>
    </xf>
    <xf numFmtId="0" fontId="46" fillId="0" borderId="0" xfId="5" applyFont="1" applyAlignment="1">
      <alignment vertical="center"/>
    </xf>
    <xf numFmtId="183" fontId="18" fillId="0" borderId="10" xfId="0" applyNumberFormat="1" applyFont="1" applyBorder="1" applyAlignment="1">
      <alignment wrapText="1"/>
    </xf>
    <xf numFmtId="165" fontId="18" fillId="0" borderId="10" xfId="0" applyNumberFormat="1" applyFont="1" applyBorder="1" applyAlignment="1">
      <alignment wrapText="1"/>
    </xf>
    <xf numFmtId="0" fontId="38" fillId="2" borderId="7" xfId="0" applyFont="1" applyFill="1" applyBorder="1" applyAlignment="1">
      <alignment vertical="center" wrapText="1"/>
    </xf>
    <xf numFmtId="0" fontId="38" fillId="2" borderId="9" xfId="0" applyFont="1" applyFill="1" applyBorder="1" applyAlignment="1">
      <alignment vertical="center" wrapText="1"/>
    </xf>
    <xf numFmtId="0" fontId="38" fillId="2" borderId="11" xfId="0" applyFont="1" applyFill="1" applyBorder="1" applyAlignment="1">
      <alignment vertical="center" wrapText="1"/>
    </xf>
    <xf numFmtId="0" fontId="38" fillId="2" borderId="2" xfId="0" applyFont="1" applyFill="1" applyBorder="1" applyAlignment="1">
      <alignment horizontal="center" vertical="center" wrapText="1"/>
    </xf>
    <xf numFmtId="165" fontId="28" fillId="0" borderId="10" xfId="0" applyNumberFormat="1" applyFont="1" applyBorder="1"/>
    <xf numFmtId="4" fontId="28" fillId="0" borderId="12" xfId="0" applyNumberFormat="1" applyFont="1" applyBorder="1" applyAlignment="1">
      <alignment horizontal="right" vertical="center" wrapText="1"/>
    </xf>
    <xf numFmtId="43" fontId="0" fillId="0" borderId="0" xfId="0" applyNumberFormat="1" applyAlignment="1">
      <alignment vertical="center" wrapText="1"/>
    </xf>
    <xf numFmtId="182" fontId="0" fillId="0" borderId="0" xfId="0" applyNumberFormat="1" applyAlignment="1">
      <alignment vertical="center" wrapText="1"/>
    </xf>
    <xf numFmtId="183" fontId="28" fillId="0" borderId="10" xfId="0" applyNumberFormat="1" applyFont="1" applyBorder="1"/>
    <xf numFmtId="0" fontId="10" fillId="0" borderId="99" xfId="5" applyBorder="1" applyAlignment="1">
      <alignment vertical="center"/>
    </xf>
    <xf numFmtId="0" fontId="0" fillId="0" borderId="99" xfId="5" applyFont="1" applyBorder="1" applyAlignment="1">
      <alignment vertical="center"/>
    </xf>
    <xf numFmtId="1" fontId="0" fillId="0" borderId="99" xfId="0" applyNumberFormat="1" applyBorder="1"/>
    <xf numFmtId="0" fontId="12" fillId="7" borderId="34" xfId="0" applyFont="1" applyFill="1" applyBorder="1" applyAlignment="1">
      <alignment horizontal="center" vertical="center" wrapText="1"/>
    </xf>
    <xf numFmtId="2" fontId="0" fillId="39" borderId="35" xfId="0" applyNumberFormat="1" applyFill="1" applyBorder="1" applyAlignment="1">
      <alignment horizontal="center" vertical="center"/>
    </xf>
    <xf numFmtId="168" fontId="0" fillId="0" borderId="99" xfId="0" applyNumberFormat="1" applyBorder="1"/>
    <xf numFmtId="10" fontId="10" fillId="0" borderId="99" xfId="5" applyNumberFormat="1" applyBorder="1" applyAlignment="1">
      <alignment vertical="center"/>
    </xf>
    <xf numFmtId="0" fontId="0" fillId="0" borderId="99" xfId="0" applyBorder="1" applyAlignment="1">
      <alignment horizontal="center"/>
    </xf>
    <xf numFmtId="0" fontId="0" fillId="0" borderId="100" xfId="0" applyBorder="1" applyAlignment="1">
      <alignment horizontal="center"/>
    </xf>
    <xf numFmtId="0" fontId="0" fillId="0" borderId="100" xfId="5" applyFont="1" applyBorder="1" applyAlignment="1">
      <alignment vertical="center"/>
    </xf>
    <xf numFmtId="1" fontId="0" fillId="0" borderId="100" xfId="0" applyNumberFormat="1" applyBorder="1"/>
    <xf numFmtId="0" fontId="0" fillId="0" borderId="100" xfId="0" applyBorder="1"/>
    <xf numFmtId="0" fontId="0" fillId="0" borderId="101" xfId="0" applyBorder="1" applyAlignment="1">
      <alignment horizontal="center"/>
    </xf>
    <xf numFmtId="0" fontId="0" fillId="0" borderId="101" xfId="0" applyBorder="1"/>
    <xf numFmtId="168" fontId="0" fillId="0" borderId="101" xfId="0" applyNumberFormat="1" applyBorder="1"/>
    <xf numFmtId="0" fontId="10" fillId="0" borderId="100" xfId="5" applyBorder="1" applyAlignment="1">
      <alignment vertical="center"/>
    </xf>
    <xf numFmtId="0" fontId="10" fillId="0" borderId="101" xfId="5" applyBorder="1" applyAlignment="1">
      <alignment vertical="center"/>
    </xf>
    <xf numFmtId="10" fontId="10" fillId="0" borderId="101" xfId="5" applyNumberFormat="1" applyBorder="1" applyAlignment="1">
      <alignment vertical="center"/>
    </xf>
    <xf numFmtId="2" fontId="0" fillId="11" borderId="1" xfId="0" applyNumberFormat="1" applyFill="1" applyBorder="1" applyAlignment="1">
      <alignment horizontal="center" vertical="center" wrapText="1"/>
    </xf>
    <xf numFmtId="3" fontId="18" fillId="0" borderId="0" xfId="5" applyNumberFormat="1" applyFont="1" applyAlignment="1">
      <alignment vertical="center" wrapText="1"/>
    </xf>
    <xf numFmtId="187" fontId="10" fillId="0" borderId="0" xfId="5" applyNumberFormat="1" applyAlignment="1">
      <alignment vertical="center"/>
    </xf>
    <xf numFmtId="186" fontId="10" fillId="0" borderId="0" xfId="5" applyNumberFormat="1" applyAlignment="1">
      <alignment vertical="center"/>
    </xf>
    <xf numFmtId="188" fontId="10" fillId="0" borderId="0" xfId="5" applyNumberFormat="1" applyAlignment="1">
      <alignment vertical="center"/>
    </xf>
    <xf numFmtId="1" fontId="27" fillId="8" borderId="1" xfId="0" applyNumberFormat="1" applyFont="1" applyFill="1" applyBorder="1" applyAlignment="1">
      <alignment horizontal="center" vertical="center" wrapText="1"/>
    </xf>
    <xf numFmtId="0" fontId="12" fillId="0" borderId="1" xfId="5" applyFont="1" applyBorder="1" applyAlignment="1">
      <alignment vertical="center"/>
    </xf>
    <xf numFmtId="0" fontId="10" fillId="0" borderId="1" xfId="5" applyBorder="1" applyAlignment="1">
      <alignment vertical="center"/>
    </xf>
    <xf numFmtId="0" fontId="10" fillId="0" borderId="1" xfId="5" applyBorder="1" applyAlignment="1">
      <alignment horizontal="center" vertical="center"/>
    </xf>
    <xf numFmtId="10" fontId="10" fillId="0" borderId="1" xfId="5" applyNumberFormat="1" applyBorder="1" applyAlignment="1">
      <alignment horizontal="center" vertical="center"/>
    </xf>
    <xf numFmtId="10" fontId="10" fillId="0" borderId="1" xfId="5" applyNumberFormat="1" applyBorder="1" applyAlignment="1">
      <alignment vertical="center"/>
    </xf>
    <xf numFmtId="3" fontId="10" fillId="0" borderId="1" xfId="5" applyNumberFormat="1" applyBorder="1" applyAlignment="1">
      <alignment horizontal="center" vertical="center"/>
    </xf>
    <xf numFmtId="9" fontId="10" fillId="0" borderId="1" xfId="5" applyNumberFormat="1" applyBorder="1" applyAlignment="1">
      <alignment horizontal="center" vertical="center"/>
    </xf>
    <xf numFmtId="9" fontId="10" fillId="0" borderId="1" xfId="5" applyNumberFormat="1" applyBorder="1" applyAlignment="1">
      <alignment vertical="center"/>
    </xf>
    <xf numFmtId="9" fontId="0" fillId="0" borderId="1" xfId="5" applyNumberFormat="1" applyFont="1" applyBorder="1" applyAlignment="1">
      <alignment horizontal="center" vertical="center"/>
    </xf>
    <xf numFmtId="0" fontId="12" fillId="0" borderId="0" xfId="5" applyFont="1" applyAlignment="1">
      <alignment vertical="center" wrapText="1"/>
    </xf>
    <xf numFmtId="10" fontId="12" fillId="0" borderId="1" xfId="9" applyNumberFormat="1" applyFont="1" applyFill="1" applyBorder="1" applyAlignment="1">
      <alignment vertical="center"/>
    </xf>
    <xf numFmtId="0" fontId="0" fillId="0" borderId="1" xfId="0" applyBorder="1" applyAlignment="1">
      <alignment vertical="center"/>
    </xf>
    <xf numFmtId="1" fontId="27" fillId="0" borderId="21" xfId="0" applyNumberFormat="1" applyFont="1" applyBorder="1" applyAlignment="1">
      <alignment horizontal="center" vertical="top"/>
    </xf>
    <xf numFmtId="0" fontId="16" fillId="0" borderId="32" xfId="0" applyFont="1" applyBorder="1" applyAlignment="1">
      <alignment vertical="center"/>
    </xf>
    <xf numFmtId="0" fontId="12" fillId="7" borderId="22" xfId="0" applyFont="1" applyFill="1" applyBorder="1" applyAlignment="1">
      <alignment vertical="center" wrapText="1"/>
    </xf>
    <xf numFmtId="167" fontId="0" fillId="0" borderId="0" xfId="0" applyNumberFormat="1" applyAlignment="1">
      <alignment vertical="center" wrapText="1"/>
    </xf>
    <xf numFmtId="0" fontId="27" fillId="0" borderId="66" xfId="0" applyFont="1" applyBorder="1" applyAlignment="1">
      <alignment horizontal="center" vertical="center" wrapText="1"/>
    </xf>
    <xf numFmtId="0" fontId="30" fillId="0" borderId="66" xfId="0" applyFont="1" applyBorder="1" applyAlignment="1">
      <alignment horizontal="center" vertical="center" wrapText="1"/>
    </xf>
    <xf numFmtId="0" fontId="14" fillId="0" borderId="31" xfId="0" applyFont="1" applyBorder="1" applyAlignment="1">
      <alignment vertical="center" wrapText="1"/>
    </xf>
    <xf numFmtId="0" fontId="0" fillId="0" borderId="66" xfId="0" applyBorder="1" applyAlignment="1">
      <alignment vertical="center" wrapText="1"/>
    </xf>
    <xf numFmtId="0" fontId="0" fillId="16" borderId="22" xfId="0" applyFill="1" applyBorder="1" applyAlignment="1">
      <alignment vertical="center"/>
    </xf>
    <xf numFmtId="0" fontId="31" fillId="0" borderId="0" xfId="0" quotePrefix="1" applyFont="1" applyAlignment="1">
      <alignment horizontal="center" vertical="center" wrapText="1"/>
    </xf>
    <xf numFmtId="0" fontId="18" fillId="0" borderId="1" xfId="0" applyFont="1" applyBorder="1" applyAlignment="1">
      <alignment wrapText="1"/>
    </xf>
    <xf numFmtId="0" fontId="18" fillId="0" borderId="22" xfId="0" applyFont="1" applyBorder="1" applyAlignment="1">
      <alignment wrapText="1"/>
    </xf>
    <xf numFmtId="167" fontId="18" fillId="0" borderId="1" xfId="0" applyNumberFormat="1" applyFont="1" applyBorder="1" applyAlignment="1">
      <alignment wrapText="1"/>
    </xf>
    <xf numFmtId="0" fontId="24" fillId="0" borderId="1" xfId="0" applyFont="1" applyBorder="1" applyAlignment="1">
      <alignment wrapText="1" readingOrder="1"/>
    </xf>
    <xf numFmtId="174" fontId="18" fillId="0" borderId="1" xfId="16" applyNumberFormat="1" applyFont="1" applyFill="1" applyBorder="1" applyAlignment="1">
      <alignment wrapText="1"/>
    </xf>
    <xf numFmtId="0" fontId="23" fillId="0" borderId="22" xfId="0" applyFont="1" applyBorder="1" applyAlignment="1">
      <alignment horizontal="center" vertical="center" wrapText="1" readingOrder="1"/>
    </xf>
    <xf numFmtId="2" fontId="18" fillId="0" borderId="1" xfId="28" applyNumberFormat="1" applyFont="1" applyBorder="1" applyAlignment="1">
      <alignment vertical="center" wrapText="1"/>
    </xf>
    <xf numFmtId="2" fontId="18" fillId="0" borderId="1" xfId="0" applyNumberFormat="1" applyFont="1" applyBorder="1" applyAlignment="1">
      <alignment wrapText="1"/>
    </xf>
    <xf numFmtId="168" fontId="18" fillId="0" borderId="1" xfId="0" applyNumberFormat="1" applyFont="1" applyBorder="1" applyAlignment="1">
      <alignment wrapText="1"/>
    </xf>
    <xf numFmtId="9" fontId="18" fillId="0" borderId="1" xfId="26" applyFont="1" applyFill="1" applyBorder="1" applyAlignment="1">
      <alignment wrapText="1"/>
    </xf>
    <xf numFmtId="9" fontId="18" fillId="0" borderId="1" xfId="0" applyNumberFormat="1" applyFont="1" applyBorder="1" applyAlignment="1">
      <alignment wrapText="1"/>
    </xf>
    <xf numFmtId="168" fontId="0" fillId="0" borderId="1" xfId="0" applyNumberFormat="1" applyBorder="1"/>
    <xf numFmtId="3" fontId="18" fillId="0" borderId="1" xfId="0" applyNumberFormat="1" applyFont="1" applyBorder="1" applyAlignment="1">
      <alignment wrapText="1"/>
    </xf>
    <xf numFmtId="183" fontId="18" fillId="0" borderId="1" xfId="0" applyNumberFormat="1" applyFont="1" applyBorder="1" applyAlignment="1">
      <alignment wrapText="1"/>
    </xf>
    <xf numFmtId="4" fontId="18" fillId="0" borderId="1" xfId="0" applyNumberFormat="1" applyFont="1" applyBorder="1" applyAlignment="1">
      <alignment wrapText="1"/>
    </xf>
    <xf numFmtId="0" fontId="24" fillId="0" borderId="15" xfId="0" applyFont="1" applyBorder="1" applyAlignment="1">
      <alignment horizontal="center" vertical="center" wrapText="1" readingOrder="1"/>
    </xf>
    <xf numFmtId="0" fontId="23" fillId="0" borderId="0" xfId="0" applyFont="1" applyAlignment="1">
      <alignment horizontal="center" vertical="center" wrapText="1" readingOrder="1"/>
    </xf>
    <xf numFmtId="0" fontId="38" fillId="0" borderId="0" xfId="0" applyFont="1" applyAlignment="1">
      <alignment vertical="center" wrapText="1"/>
    </xf>
    <xf numFmtId="0" fontId="38" fillId="0" borderId="0" xfId="0" applyFont="1" applyAlignment="1">
      <alignment vertical="center"/>
    </xf>
    <xf numFmtId="0" fontId="23" fillId="40" borderId="22" xfId="0" applyFont="1" applyFill="1" applyBorder="1" applyAlignment="1">
      <alignment horizontal="center" vertical="center" wrapText="1" readingOrder="1"/>
    </xf>
    <xf numFmtId="0" fontId="0" fillId="0" borderId="0" xfId="0" applyAlignment="1">
      <alignment horizontal="left" wrapText="1"/>
    </xf>
    <xf numFmtId="0" fontId="13" fillId="0" borderId="0" xfId="0" applyFont="1"/>
    <xf numFmtId="0" fontId="23" fillId="40" borderId="98" xfId="0" applyFont="1" applyFill="1" applyBorder="1" applyAlignment="1">
      <alignment horizontal="center" vertical="center" wrapText="1" readingOrder="1"/>
    </xf>
    <xf numFmtId="0" fontId="23" fillId="40" borderId="103" xfId="0" applyFont="1" applyFill="1" applyBorder="1" applyAlignment="1">
      <alignment horizontal="center" vertical="center" wrapText="1" readingOrder="1"/>
    </xf>
    <xf numFmtId="0" fontId="23" fillId="40" borderId="104" xfId="0" applyFont="1" applyFill="1" applyBorder="1" applyAlignment="1">
      <alignment horizontal="center" vertical="center" wrapText="1" readingOrder="1"/>
    </xf>
    <xf numFmtId="0" fontId="0" fillId="0" borderId="106" xfId="0" applyBorder="1"/>
    <xf numFmtId="0" fontId="0" fillId="0" borderId="108" xfId="0" applyBorder="1"/>
    <xf numFmtId="0" fontId="0" fillId="0" borderId="110" xfId="0" applyBorder="1"/>
    <xf numFmtId="0" fontId="10" fillId="0" borderId="66" xfId="5" applyBorder="1" applyAlignment="1">
      <alignment vertical="center"/>
    </xf>
    <xf numFmtId="0" fontId="10" fillId="0" borderId="57" xfId="5" applyBorder="1" applyAlignment="1">
      <alignment vertical="center"/>
    </xf>
    <xf numFmtId="0" fontId="10" fillId="0" borderId="0" xfId="5" applyAlignment="1">
      <alignment horizontal="center" vertical="center"/>
    </xf>
    <xf numFmtId="0" fontId="39" fillId="0" borderId="66" xfId="0" applyFont="1" applyBorder="1"/>
    <xf numFmtId="0" fontId="0" fillId="0" borderId="112" xfId="0" applyBorder="1" applyAlignment="1">
      <alignment horizontal="center"/>
    </xf>
    <xf numFmtId="0" fontId="0" fillId="0" borderId="112" xfId="0" applyBorder="1"/>
    <xf numFmtId="168" fontId="0" fillId="0" borderId="112" xfId="0" applyNumberFormat="1" applyBorder="1"/>
    <xf numFmtId="0" fontId="0" fillId="0" borderId="113" xfId="0" applyBorder="1"/>
    <xf numFmtId="0" fontId="2" fillId="0" borderId="0" xfId="33"/>
    <xf numFmtId="0" fontId="54" fillId="0" borderId="0" xfId="33" applyFont="1" applyAlignment="1">
      <alignment horizontal="center" vertical="center"/>
    </xf>
    <xf numFmtId="0" fontId="19" fillId="0" borderId="0" xfId="33" applyFont="1" applyAlignment="1">
      <alignment horizontal="center" vertical="center"/>
    </xf>
    <xf numFmtId="0" fontId="0" fillId="0" borderId="1" xfId="5" applyFont="1" applyBorder="1" applyAlignment="1">
      <alignment vertical="center"/>
    </xf>
    <xf numFmtId="2" fontId="47" fillId="0" borderId="1" xfId="0" applyNumberFormat="1" applyFont="1" applyBorder="1"/>
    <xf numFmtId="2" fontId="0" fillId="0" borderId="1" xfId="5" applyNumberFormat="1" applyFont="1" applyBorder="1" applyAlignment="1">
      <alignment vertical="center"/>
    </xf>
    <xf numFmtId="0" fontId="53" fillId="0" borderId="0" xfId="5" applyFont="1" applyAlignment="1">
      <alignment vertical="center"/>
    </xf>
    <xf numFmtId="0" fontId="0" fillId="0" borderId="0" xfId="17" applyFont="1" applyAlignment="1">
      <alignment horizontal="center"/>
    </xf>
    <xf numFmtId="0" fontId="0" fillId="0" borderId="62" xfId="17" applyFont="1" applyBorder="1" applyAlignment="1">
      <alignment horizontal="right"/>
    </xf>
    <xf numFmtId="0" fontId="0" fillId="0" borderId="60" xfId="17" applyFont="1" applyBorder="1"/>
    <xf numFmtId="0" fontId="0" fillId="0" borderId="71" xfId="17" applyFont="1" applyBorder="1"/>
    <xf numFmtId="0" fontId="0" fillId="0" borderId="73" xfId="17" applyFont="1" applyBorder="1"/>
    <xf numFmtId="0" fontId="0" fillId="0" borderId="21" xfId="17" applyFont="1" applyBorder="1"/>
    <xf numFmtId="0" fontId="0" fillId="0" borderId="18" xfId="17" applyFont="1" applyBorder="1"/>
    <xf numFmtId="0" fontId="0" fillId="0" borderId="42" xfId="17" applyFont="1" applyBorder="1"/>
    <xf numFmtId="0" fontId="0" fillId="28" borderId="114" xfId="17" applyFont="1" applyFill="1" applyBorder="1"/>
    <xf numFmtId="0" fontId="0" fillId="3" borderId="0" xfId="17" applyFont="1" applyFill="1" applyAlignment="1">
      <alignment horizontal="center"/>
    </xf>
    <xf numFmtId="178" fontId="0" fillId="0" borderId="0" xfId="17" applyNumberFormat="1" applyFont="1" applyAlignment="1">
      <alignment horizontal="center"/>
    </xf>
    <xf numFmtId="178" fontId="0" fillId="0" borderId="115" xfId="17" applyNumberFormat="1" applyFont="1" applyBorder="1" applyAlignment="1">
      <alignment horizontal="center"/>
    </xf>
    <xf numFmtId="178" fontId="0" fillId="0" borderId="71" xfId="17" applyNumberFormat="1" applyFont="1" applyBorder="1" applyAlignment="1">
      <alignment horizontal="center"/>
    </xf>
    <xf numFmtId="0" fontId="0" fillId="0" borderId="73" xfId="17" applyFont="1" applyBorder="1" applyAlignment="1">
      <alignment horizontal="center"/>
    </xf>
    <xf numFmtId="0" fontId="0" fillId="0" borderId="18" xfId="17" applyFont="1" applyBorder="1" applyAlignment="1">
      <alignment horizontal="center"/>
    </xf>
    <xf numFmtId="178" fontId="0" fillId="0" borderId="21" xfId="17" applyNumberFormat="1" applyFont="1" applyBorder="1" applyAlignment="1">
      <alignment horizontal="center"/>
    </xf>
    <xf numFmtId="178" fontId="0" fillId="0" borderId="18" xfId="17" applyNumberFormat="1" applyFont="1" applyBorder="1" applyAlignment="1">
      <alignment horizontal="center"/>
    </xf>
    <xf numFmtId="178" fontId="0" fillId="0" borderId="102" xfId="17" applyNumberFormat="1" applyFont="1" applyBorder="1" applyAlignment="1">
      <alignment horizontal="center"/>
    </xf>
    <xf numFmtId="9" fontId="0" fillId="0" borderId="73" xfId="0" applyNumberFormat="1" applyBorder="1"/>
    <xf numFmtId="9" fontId="47" fillId="0" borderId="17" xfId="0" applyNumberFormat="1" applyFont="1" applyBorder="1"/>
    <xf numFmtId="0" fontId="0" fillId="0" borderId="17" xfId="0" applyBorder="1" applyAlignment="1">
      <alignment horizontal="center"/>
    </xf>
    <xf numFmtId="9" fontId="0" fillId="0" borderId="116" xfId="0" applyNumberFormat="1" applyBorder="1" applyAlignment="1">
      <alignment horizontal="center"/>
    </xf>
    <xf numFmtId="0" fontId="26" fillId="0" borderId="0" xfId="0" applyFont="1"/>
    <xf numFmtId="0" fontId="55" fillId="2" borderId="7" xfId="0" applyFont="1" applyFill="1" applyBorder="1" applyAlignment="1">
      <alignment vertical="center" wrapText="1"/>
    </xf>
    <xf numFmtId="0" fontId="55" fillId="2" borderId="9" xfId="0" applyFont="1" applyFill="1" applyBorder="1" applyAlignment="1">
      <alignment vertical="center" wrapText="1"/>
    </xf>
    <xf numFmtId="0" fontId="55" fillId="2" borderId="11" xfId="0" applyFont="1" applyFill="1" applyBorder="1" applyAlignment="1">
      <alignment vertical="center" wrapText="1"/>
    </xf>
    <xf numFmtId="4" fontId="15" fillId="0" borderId="12" xfId="0" applyNumberFormat="1" applyFont="1" applyBorder="1" applyAlignment="1">
      <alignment horizontal="right" vertical="center" wrapText="1"/>
    </xf>
    <xf numFmtId="4" fontId="15" fillId="0" borderId="10" xfId="0" applyNumberFormat="1" applyFont="1" applyBorder="1"/>
    <xf numFmtId="4" fontId="22" fillId="0" borderId="12" xfId="0" applyNumberFormat="1" applyFont="1" applyBorder="1" applyAlignment="1">
      <alignment horizontal="right" vertical="center" wrapText="1"/>
    </xf>
    <xf numFmtId="0" fontId="0" fillId="0" borderId="99" xfId="0" applyBorder="1" applyAlignment="1">
      <alignment vertical="center"/>
    </xf>
    <xf numFmtId="0" fontId="0" fillId="0" borderId="99" xfId="0" applyBorder="1" applyAlignment="1">
      <alignment horizontal="center" vertical="center"/>
    </xf>
    <xf numFmtId="2" fontId="0" fillId="0" borderId="99" xfId="0" applyNumberFormat="1" applyBorder="1" applyAlignment="1">
      <alignment horizontal="center" vertical="center"/>
    </xf>
    <xf numFmtId="0" fontId="26" fillId="0" borderId="0" xfId="0" applyFont="1" applyAlignment="1">
      <alignment horizontal="center" vertical="center" wrapText="1"/>
    </xf>
    <xf numFmtId="0" fontId="29" fillId="0" borderId="0" xfId="0" quotePrefix="1" applyFont="1" applyAlignment="1">
      <alignment horizontal="center" vertical="center" wrapText="1"/>
    </xf>
    <xf numFmtId="0" fontId="26" fillId="0" borderId="15" xfId="0" applyFont="1" applyBorder="1" applyAlignment="1">
      <alignment horizontal="center" vertical="center" wrapText="1"/>
    </xf>
    <xf numFmtId="0" fontId="56" fillId="0" borderId="1" xfId="0" applyFont="1" applyBorder="1" applyAlignment="1">
      <alignment vertical="center" wrapText="1"/>
    </xf>
    <xf numFmtId="10" fontId="0" fillId="0" borderId="1" xfId="0" applyNumberFormat="1" applyBorder="1"/>
    <xf numFmtId="10" fontId="56" fillId="0" borderId="1" xfId="9" applyNumberFormat="1" applyFont="1" applyBorder="1" applyAlignment="1">
      <alignment horizontal="right" vertical="center" wrapText="1"/>
    </xf>
    <xf numFmtId="0" fontId="1" fillId="0" borderId="1" xfId="5" applyFont="1" applyBorder="1" applyAlignment="1">
      <alignment vertical="center"/>
    </xf>
    <xf numFmtId="0" fontId="1" fillId="0" borderId="0" xfId="5" applyFont="1" applyAlignment="1">
      <alignment vertical="center"/>
    </xf>
    <xf numFmtId="0" fontId="1" fillId="0" borderId="0" xfId="5" applyFont="1" applyAlignment="1">
      <alignment vertical="center" wrapText="1"/>
    </xf>
    <xf numFmtId="169" fontId="1" fillId="0" borderId="0" xfId="9" applyNumberFormat="1" applyFont="1" applyFill="1" applyAlignment="1">
      <alignment vertical="center"/>
    </xf>
    <xf numFmtId="0" fontId="1" fillId="0" borderId="0" xfId="0" applyFont="1" applyAlignment="1">
      <alignment vertical="center" wrapText="1"/>
    </xf>
    <xf numFmtId="0" fontId="1" fillId="0" borderId="0" xfId="0" applyFont="1" applyAlignment="1">
      <alignment vertical="center"/>
    </xf>
    <xf numFmtId="167" fontId="28" fillId="12" borderId="1" xfId="0" applyNumberFormat="1" applyFont="1" applyFill="1" applyBorder="1" applyAlignment="1">
      <alignment vertical="center" wrapText="1"/>
    </xf>
    <xf numFmtId="0" fontId="26" fillId="12" borderId="22" xfId="0" applyFont="1" applyFill="1" applyBorder="1" applyAlignment="1">
      <alignment vertical="center" wrapText="1"/>
    </xf>
    <xf numFmtId="9" fontId="0" fillId="12" borderId="1" xfId="0" applyNumberFormat="1" applyFill="1" applyBorder="1" applyAlignment="1">
      <alignment vertical="center" wrapText="1"/>
    </xf>
    <xf numFmtId="0" fontId="0" fillId="12" borderId="1" xfId="0" applyFill="1" applyBorder="1" applyAlignment="1">
      <alignment vertical="center" wrapText="1"/>
    </xf>
    <xf numFmtId="0" fontId="0" fillId="3" borderId="1" xfId="0" applyFill="1" applyBorder="1" applyAlignment="1">
      <alignment horizontal="center"/>
    </xf>
    <xf numFmtId="0" fontId="53" fillId="0" borderId="0" xfId="0" applyFont="1" applyAlignment="1">
      <alignment horizontal="center"/>
    </xf>
    <xf numFmtId="9" fontId="0" fillId="41" borderId="1" xfId="0" applyNumberFormat="1" applyFill="1" applyBorder="1" applyAlignment="1">
      <alignment horizontal="center"/>
    </xf>
    <xf numFmtId="2" fontId="0" fillId="0" borderId="0" xfId="0" applyNumberFormat="1" applyAlignment="1">
      <alignment horizontal="center"/>
    </xf>
    <xf numFmtId="9" fontId="0" fillId="0" borderId="0" xfId="9" applyFont="1" applyAlignment="1">
      <alignment horizontal="center"/>
    </xf>
    <xf numFmtId="44" fontId="0" fillId="41" borderId="1" xfId="34" applyFont="1" applyFill="1" applyBorder="1" applyAlignment="1">
      <alignment horizontal="center"/>
    </xf>
    <xf numFmtId="44" fontId="0" fillId="0" borderId="0" xfId="34" applyFont="1" applyAlignment="1">
      <alignment horizontal="center"/>
    </xf>
    <xf numFmtId="0" fontId="0" fillId="41" borderId="1" xfId="0" applyFill="1" applyBorder="1" applyAlignment="1">
      <alignment horizontal="center"/>
    </xf>
    <xf numFmtId="2" fontId="0" fillId="9" borderId="1" xfId="16" applyNumberFormat="1" applyFont="1" applyFill="1" applyBorder="1" applyAlignment="1">
      <alignment horizontal="center"/>
    </xf>
    <xf numFmtId="10" fontId="0" fillId="0" borderId="1" xfId="9" applyNumberFormat="1" applyFont="1" applyFill="1" applyBorder="1" applyAlignment="1">
      <alignment horizontal="center"/>
    </xf>
    <xf numFmtId="167" fontId="0" fillId="0" borderId="1" xfId="0" applyNumberFormat="1" applyBorder="1" applyAlignment="1">
      <alignment horizontal="center"/>
    </xf>
    <xf numFmtId="184" fontId="0" fillId="0" borderId="0" xfId="34" applyNumberFormat="1" applyFont="1" applyAlignment="1">
      <alignment horizontal="center"/>
    </xf>
    <xf numFmtId="0" fontId="53" fillId="0" borderId="0" xfId="0" applyFont="1" applyAlignment="1">
      <alignment horizontal="center" vertical="center" wrapText="1"/>
    </xf>
    <xf numFmtId="10" fontId="0" fillId="0" borderId="1" xfId="9" applyNumberFormat="1" applyFont="1" applyBorder="1" applyAlignment="1">
      <alignment horizontal="center"/>
    </xf>
    <xf numFmtId="184" fontId="0" fillId="41" borderId="1" xfId="34" applyNumberFormat="1" applyFont="1" applyFill="1" applyBorder="1" applyAlignment="1">
      <alignment horizontal="center"/>
    </xf>
    <xf numFmtId="2" fontId="0" fillId="41" borderId="1" xfId="0" applyNumberFormat="1" applyFill="1" applyBorder="1" applyAlignment="1">
      <alignment horizontal="center"/>
    </xf>
    <xf numFmtId="2" fontId="0" fillId="0" borderId="0" xfId="16" applyNumberFormat="1" applyFont="1" applyAlignment="1">
      <alignment horizontal="center"/>
    </xf>
    <xf numFmtId="0" fontId="12" fillId="0" borderId="0" xfId="0" applyFont="1"/>
    <xf numFmtId="2" fontId="12" fillId="0" borderId="81" xfId="0" applyNumberFormat="1" applyFont="1" applyBorder="1" applyAlignment="1">
      <alignment horizontal="center"/>
    </xf>
    <xf numFmtId="4" fontId="0" fillId="0" borderId="1" xfId="0" applyNumberFormat="1" applyBorder="1" applyAlignment="1">
      <alignment horizontal="center"/>
    </xf>
    <xf numFmtId="4" fontId="0" fillId="0" borderId="0" xfId="0" applyNumberFormat="1" applyAlignment="1">
      <alignment horizontal="center"/>
    </xf>
    <xf numFmtId="189" fontId="54" fillId="0" borderId="0" xfId="33" applyNumberFormat="1" applyFont="1" applyAlignment="1">
      <alignment horizontal="center" vertical="center"/>
    </xf>
    <xf numFmtId="49" fontId="54" fillId="0" borderId="0" xfId="33" applyNumberFormat="1" applyFont="1" applyAlignment="1">
      <alignment horizontal="center" vertical="center"/>
    </xf>
    <xf numFmtId="0" fontId="27" fillId="4" borderId="98" xfId="0" applyFont="1" applyFill="1" applyBorder="1" applyAlignment="1">
      <alignment horizontal="center" vertical="center"/>
    </xf>
    <xf numFmtId="0" fontId="27" fillId="4" borderId="75" xfId="0" applyFont="1" applyFill="1" applyBorder="1" applyAlignment="1">
      <alignment horizontal="center" vertical="center"/>
    </xf>
    <xf numFmtId="0" fontId="27" fillId="4" borderId="78" xfId="0" applyFont="1" applyFill="1" applyBorder="1" applyAlignment="1">
      <alignment horizontal="center" vertical="center"/>
    </xf>
    <xf numFmtId="0" fontId="27" fillId="4" borderId="98" xfId="0" applyFont="1" applyFill="1" applyBorder="1" applyAlignment="1">
      <alignment horizontal="center" vertical="center" wrapText="1"/>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7" xfId="0" applyFont="1" applyBorder="1" applyAlignment="1">
      <alignment horizontal="center" vertical="center" wrapText="1"/>
    </xf>
    <xf numFmtId="0" fontId="24" fillId="0" borderId="15" xfId="0" applyFont="1" applyBorder="1" applyAlignment="1">
      <alignment horizontal="center" vertical="center" wrapText="1" readingOrder="1"/>
    </xf>
    <xf numFmtId="0" fontId="24" fillId="0" borderId="17" xfId="0" applyFont="1" applyBorder="1" applyAlignment="1">
      <alignment horizontal="center" vertical="center" wrapText="1" readingOrder="1"/>
    </xf>
    <xf numFmtId="0" fontId="24" fillId="0" borderId="16" xfId="0" applyFont="1" applyBorder="1" applyAlignment="1">
      <alignment horizontal="center" vertical="center" wrapText="1" readingOrder="1"/>
    </xf>
    <xf numFmtId="0" fontId="18" fillId="0" borderId="1" xfId="0" applyFont="1" applyBorder="1" applyAlignment="1">
      <alignment horizontal="center" vertical="center" wrapText="1"/>
    </xf>
    <xf numFmtId="0" fontId="27" fillId="0" borderId="105" xfId="0" applyFont="1" applyBorder="1" applyAlignment="1">
      <alignment horizontal="center" vertical="center"/>
    </xf>
    <xf numFmtId="0" fontId="27" fillId="0" borderId="107" xfId="0" applyFont="1" applyBorder="1" applyAlignment="1">
      <alignment horizontal="center" vertical="center"/>
    </xf>
    <xf numFmtId="0" fontId="27" fillId="0" borderId="111" xfId="0" applyFont="1" applyBorder="1" applyAlignment="1">
      <alignment horizontal="center" vertical="center"/>
    </xf>
    <xf numFmtId="0" fontId="12" fillId="0" borderId="105" xfId="5" applyFont="1" applyBorder="1" applyAlignment="1">
      <alignment horizontal="center" vertical="center"/>
    </xf>
    <xf numFmtId="0" fontId="12" fillId="0" borderId="107" xfId="5" applyFont="1" applyBorder="1" applyAlignment="1">
      <alignment horizontal="center" vertical="center"/>
    </xf>
    <xf numFmtId="0" fontId="12" fillId="0" borderId="109" xfId="5" applyFont="1" applyBorder="1" applyAlignment="1">
      <alignment horizontal="center" vertical="center"/>
    </xf>
    <xf numFmtId="0" fontId="27" fillId="0" borderId="109" xfId="0" applyFont="1" applyBorder="1" applyAlignment="1">
      <alignment horizontal="center" vertical="center"/>
    </xf>
    <xf numFmtId="0" fontId="14" fillId="4" borderId="98" xfId="0" applyFont="1" applyFill="1" applyBorder="1" applyAlignment="1">
      <alignment horizontal="center" vertical="center"/>
    </xf>
    <xf numFmtId="0" fontId="14" fillId="4" borderId="75" xfId="0" applyFont="1" applyFill="1" applyBorder="1" applyAlignment="1">
      <alignment horizontal="center" vertical="center"/>
    </xf>
    <xf numFmtId="0" fontId="14" fillId="4" borderId="78" xfId="0" applyFont="1" applyFill="1" applyBorder="1" applyAlignment="1">
      <alignment horizontal="center" vertical="center"/>
    </xf>
    <xf numFmtId="0" fontId="12" fillId="4" borderId="98" xfId="0" applyFont="1" applyFill="1" applyBorder="1" applyAlignment="1">
      <alignment horizontal="center" vertical="center"/>
    </xf>
    <xf numFmtId="0" fontId="12" fillId="4" borderId="75" xfId="0" applyFont="1" applyFill="1" applyBorder="1" applyAlignment="1">
      <alignment horizontal="center" vertical="center"/>
    </xf>
    <xf numFmtId="0" fontId="12" fillId="4" borderId="78" xfId="0" applyFont="1" applyFill="1" applyBorder="1" applyAlignment="1">
      <alignment horizontal="center" vertical="center"/>
    </xf>
    <xf numFmtId="0" fontId="24" fillId="4" borderId="15" xfId="0" applyFont="1" applyFill="1" applyBorder="1" applyAlignment="1">
      <alignment horizontal="center" vertical="center" wrapText="1" readingOrder="1"/>
    </xf>
    <xf numFmtId="0" fontId="24" fillId="4" borderId="17" xfId="0" applyFont="1" applyFill="1" applyBorder="1" applyAlignment="1">
      <alignment horizontal="center" vertical="center" wrapText="1" readingOrder="1"/>
    </xf>
    <xf numFmtId="0" fontId="24" fillId="4" borderId="16" xfId="0" applyFont="1" applyFill="1" applyBorder="1" applyAlignment="1">
      <alignment horizontal="center" vertical="center" wrapText="1" readingOrder="1"/>
    </xf>
    <xf numFmtId="0" fontId="42" fillId="32" borderId="65" xfId="0" applyFont="1" applyFill="1" applyBorder="1" applyAlignment="1">
      <alignment horizontal="left" vertical="top" wrapText="1"/>
    </xf>
    <xf numFmtId="0" fontId="42" fillId="32" borderId="43" xfId="0" applyFont="1" applyFill="1" applyBorder="1" applyAlignment="1">
      <alignment horizontal="left" vertical="top" wrapText="1"/>
    </xf>
    <xf numFmtId="0" fontId="42" fillId="32" borderId="15" xfId="0" applyFont="1" applyFill="1" applyBorder="1" applyAlignment="1">
      <alignment horizontal="left" vertical="top" wrapText="1"/>
    </xf>
    <xf numFmtId="0" fontId="12" fillId="2" borderId="4" xfId="5" applyFont="1" applyFill="1" applyBorder="1" applyAlignment="1">
      <alignment horizontal="center" vertical="center" wrapText="1"/>
    </xf>
    <xf numFmtId="0" fontId="12" fillId="2" borderId="2" xfId="5" applyFont="1" applyFill="1" applyBorder="1" applyAlignment="1">
      <alignment horizontal="center" vertical="center" wrapText="1"/>
    </xf>
    <xf numFmtId="0" fontId="31" fillId="30" borderId="4" xfId="0" applyFont="1" applyFill="1" applyBorder="1" applyAlignment="1">
      <alignment horizontal="center"/>
    </xf>
    <xf numFmtId="0" fontId="31" fillId="30" borderId="5" xfId="0" applyFont="1" applyFill="1" applyBorder="1" applyAlignment="1">
      <alignment horizontal="center"/>
    </xf>
    <xf numFmtId="0" fontId="31" fillId="30" borderId="3" xfId="0" applyFont="1" applyFill="1" applyBorder="1" applyAlignment="1">
      <alignment horizontal="center"/>
    </xf>
    <xf numFmtId="0" fontId="27" fillId="26" borderId="22" xfId="0" applyFont="1" applyFill="1" applyBorder="1" applyAlignment="1">
      <alignment horizontal="center" wrapText="1"/>
    </xf>
    <xf numFmtId="0" fontId="27" fillId="28" borderId="22" xfId="0" applyFont="1" applyFill="1" applyBorder="1" applyAlignment="1">
      <alignment horizontal="center" wrapText="1"/>
    </xf>
    <xf numFmtId="0" fontId="27" fillId="25" borderId="22" xfId="0" applyFont="1" applyFill="1" applyBorder="1" applyAlignment="1">
      <alignment horizontal="center" wrapText="1"/>
    </xf>
    <xf numFmtId="0" fontId="27" fillId="25" borderId="1" xfId="0" applyFont="1" applyFill="1" applyBorder="1" applyAlignment="1">
      <alignment horizontal="center" wrapText="1"/>
    </xf>
    <xf numFmtId="0" fontId="0" fillId="24" borderId="22" xfId="0" applyFill="1" applyBorder="1" applyAlignment="1">
      <alignment horizontal="center"/>
    </xf>
    <xf numFmtId="0" fontId="27" fillId="25" borderId="4" xfId="0" applyFont="1" applyFill="1" applyBorder="1" applyAlignment="1">
      <alignment horizontal="center" wrapText="1"/>
    </xf>
    <xf numFmtId="0" fontId="27" fillId="25" borderId="2" xfId="0" applyFont="1" applyFill="1" applyBorder="1" applyAlignment="1">
      <alignment horizontal="center" wrapText="1"/>
    </xf>
    <xf numFmtId="0" fontId="26" fillId="34" borderId="117" xfId="0" applyFont="1" applyFill="1" applyBorder="1" applyAlignment="1">
      <alignment horizontal="center"/>
    </xf>
    <xf numFmtId="0" fontId="26" fillId="34" borderId="18" xfId="0" applyFont="1" applyFill="1" applyBorder="1" applyAlignment="1">
      <alignment horizontal="center"/>
    </xf>
    <xf numFmtId="0" fontId="27" fillId="8" borderId="48" xfId="17" applyFont="1" applyFill="1" applyBorder="1" applyAlignment="1">
      <alignment horizontal="center"/>
    </xf>
    <xf numFmtId="0" fontId="27" fillId="26" borderId="77" xfId="17" applyFont="1" applyFill="1" applyBorder="1" applyAlignment="1">
      <alignment horizontal="center"/>
    </xf>
    <xf numFmtId="0" fontId="27" fillId="26" borderId="104" xfId="17" applyFont="1" applyFill="1" applyBorder="1" applyAlignment="1">
      <alignment horizontal="center"/>
    </xf>
    <xf numFmtId="0" fontId="27" fillId="0" borderId="22" xfId="17" applyFont="1" applyBorder="1" applyAlignment="1">
      <alignment horizontal="center"/>
    </xf>
    <xf numFmtId="0" fontId="27" fillId="28" borderId="4" xfId="17" applyFont="1" applyFill="1" applyBorder="1" applyAlignment="1">
      <alignment horizontal="center"/>
    </xf>
    <xf numFmtId="0" fontId="27" fillId="28" borderId="2" xfId="17" applyFont="1" applyFill="1" applyBorder="1" applyAlignment="1">
      <alignment horizontal="center"/>
    </xf>
    <xf numFmtId="0" fontId="27" fillId="8" borderId="74" xfId="17" applyFont="1" applyFill="1" applyBorder="1" applyAlignment="1">
      <alignment horizontal="center"/>
    </xf>
    <xf numFmtId="0" fontId="27" fillId="26" borderId="74" xfId="17" applyFont="1" applyFill="1" applyBorder="1" applyAlignment="1">
      <alignment horizontal="center"/>
    </xf>
    <xf numFmtId="0" fontId="27" fillId="25" borderId="74" xfId="17" applyFont="1" applyFill="1" applyBorder="1" applyAlignment="1">
      <alignment horizontal="center"/>
    </xf>
    <xf numFmtId="0" fontId="0" fillId="28" borderId="65" xfId="17" applyFont="1" applyFill="1" applyBorder="1" applyAlignment="1">
      <alignment horizontal="center" vertical="center"/>
    </xf>
    <xf numFmtId="0" fontId="27" fillId="33" borderId="63" xfId="17" applyFont="1" applyFill="1" applyBorder="1" applyAlignment="1">
      <alignment horizontal="center"/>
    </xf>
    <xf numFmtId="0" fontId="27" fillId="33" borderId="65" xfId="17" applyFont="1" applyFill="1" applyBorder="1" applyAlignment="1">
      <alignment horizontal="center"/>
    </xf>
    <xf numFmtId="0" fontId="27" fillId="0" borderId="37" xfId="17" applyFont="1" applyBorder="1" applyAlignment="1">
      <alignment horizontal="center"/>
    </xf>
    <xf numFmtId="0" fontId="27" fillId="0" borderId="19" xfId="17" applyFont="1" applyBorder="1" applyAlignment="1">
      <alignment horizontal="center"/>
    </xf>
    <xf numFmtId="0" fontId="27" fillId="0" borderId="38" xfId="17" applyFont="1" applyBorder="1" applyAlignment="1">
      <alignment horizontal="center"/>
    </xf>
    <xf numFmtId="0" fontId="0" fillId="24" borderId="1" xfId="0" applyFill="1" applyBorder="1" applyAlignment="1">
      <alignment horizontal="center"/>
    </xf>
    <xf numFmtId="0" fontId="27" fillId="0" borderId="0" xfId="0" applyFont="1" applyAlignment="1">
      <alignment horizontal="center" wrapText="1"/>
    </xf>
    <xf numFmtId="0" fontId="27" fillId="0" borderId="0" xfId="0" applyFont="1" applyAlignment="1">
      <alignment horizontal="left"/>
    </xf>
    <xf numFmtId="0" fontId="0" fillId="0" borderId="18" xfId="0" applyBorder="1" applyAlignment="1">
      <alignment horizontal="center" vertical="center"/>
    </xf>
    <xf numFmtId="0" fontId="27" fillId="21" borderId="22" xfId="0" applyFont="1" applyFill="1" applyBorder="1" applyAlignment="1">
      <alignment horizontal="center"/>
    </xf>
    <xf numFmtId="0" fontId="27" fillId="21" borderId="19" xfId="0" applyFont="1" applyFill="1" applyBorder="1" applyAlignment="1">
      <alignment horizontal="center"/>
    </xf>
    <xf numFmtId="0" fontId="27" fillId="21" borderId="38" xfId="0" applyFont="1" applyFill="1" applyBorder="1" applyAlignment="1">
      <alignment horizontal="center"/>
    </xf>
    <xf numFmtId="0" fontId="27" fillId="6" borderId="19" xfId="0" applyFont="1" applyFill="1" applyBorder="1" applyAlignment="1">
      <alignment horizontal="center"/>
    </xf>
    <xf numFmtId="0" fontId="27" fillId="6" borderId="38" xfId="0" applyFont="1" applyFill="1" applyBorder="1" applyAlignment="1">
      <alignment horizontal="center"/>
    </xf>
    <xf numFmtId="0" fontId="27" fillId="22" borderId="9" xfId="0" applyFont="1" applyFill="1" applyBorder="1" applyAlignment="1">
      <alignment horizontal="center"/>
    </xf>
    <xf numFmtId="0" fontId="27" fillId="22" borderId="1" xfId="0" applyFont="1" applyFill="1" applyBorder="1" applyAlignment="1">
      <alignment horizontal="center"/>
    </xf>
    <xf numFmtId="0" fontId="27" fillId="22" borderId="10" xfId="0" applyFont="1" applyFill="1" applyBorder="1" applyAlignment="1">
      <alignment horizontal="center"/>
    </xf>
    <xf numFmtId="0" fontId="0" fillId="0" borderId="1" xfId="0" applyBorder="1" applyAlignment="1">
      <alignment horizontal="left"/>
    </xf>
    <xf numFmtId="0" fontId="0" fillId="0" borderId="10" xfId="0" applyBorder="1" applyAlignment="1">
      <alignment horizontal="left"/>
    </xf>
    <xf numFmtId="0" fontId="27" fillId="0" borderId="1" xfId="0" applyFont="1" applyBorder="1" applyAlignment="1">
      <alignment horizontal="left"/>
    </xf>
    <xf numFmtId="0" fontId="27" fillId="0" borderId="10" xfId="0" applyFont="1" applyBorder="1" applyAlignment="1">
      <alignment horizontal="left"/>
    </xf>
    <xf numFmtId="0" fontId="27" fillId="0" borderId="59" xfId="0" applyFont="1" applyBorder="1" applyAlignment="1">
      <alignment horizontal="left"/>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18" xfId="0" applyFont="1" applyBorder="1" applyAlignment="1">
      <alignment horizontal="center" vertical="center"/>
    </xf>
    <xf numFmtId="0" fontId="27" fillId="0" borderId="44" xfId="0" applyFont="1" applyBorder="1" applyAlignment="1">
      <alignment horizontal="center" vertical="center" wrapText="1"/>
    </xf>
    <xf numFmtId="0" fontId="27" fillId="0" borderId="18" xfId="0" applyFont="1" applyBorder="1" applyAlignment="1">
      <alignment horizontal="center" vertical="center" wrapText="1"/>
    </xf>
    <xf numFmtId="0" fontId="0" fillId="0" borderId="0" xfId="0" applyAlignment="1">
      <alignment horizontal="left"/>
    </xf>
    <xf numFmtId="0" fontId="27" fillId="0" borderId="18" xfId="0" applyFont="1" applyBorder="1" applyAlignment="1">
      <alignment horizontal="left"/>
    </xf>
    <xf numFmtId="0" fontId="0" fillId="0" borderId="18" xfId="0" applyBorder="1" applyAlignment="1">
      <alignment horizontal="left"/>
    </xf>
    <xf numFmtId="0" fontId="0" fillId="0" borderId="0" xfId="0" applyAlignment="1">
      <alignment horizontal="center" vertical="center"/>
    </xf>
    <xf numFmtId="0" fontId="37" fillId="0" borderId="0" xfId="0" applyFont="1" applyAlignment="1">
      <alignment horizontal="center" vertical="center"/>
    </xf>
    <xf numFmtId="0" fontId="37" fillId="0" borderId="18" xfId="0" applyFont="1" applyBorder="1" applyAlignment="1">
      <alignment horizontal="center" vertical="center"/>
    </xf>
    <xf numFmtId="0" fontId="37" fillId="0" borderId="44" xfId="0" applyFont="1" applyBorder="1" applyAlignment="1">
      <alignment horizontal="center" vertical="center"/>
    </xf>
    <xf numFmtId="0" fontId="0" fillId="28" borderId="44" xfId="0" applyFill="1" applyBorder="1" applyAlignment="1">
      <alignment horizontal="center" vertical="center" wrapText="1"/>
    </xf>
    <xf numFmtId="0" fontId="0" fillId="28" borderId="0" xfId="0" applyFill="1" applyAlignment="1">
      <alignment horizontal="center" vertical="center" wrapText="1"/>
    </xf>
    <xf numFmtId="0" fontId="0" fillId="28" borderId="18" xfId="0" applyFill="1"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44" xfId="0" applyBorder="1" applyAlignment="1">
      <alignment horizontal="center" vertical="center" wrapText="1"/>
    </xf>
    <xf numFmtId="0" fontId="0" fillId="0" borderId="44" xfId="0" applyBorder="1" applyAlignment="1">
      <alignment horizontal="center" vertical="center"/>
    </xf>
    <xf numFmtId="0" fontId="0" fillId="6" borderId="99" xfId="0" applyFill="1" applyBorder="1" applyAlignment="1">
      <alignment horizontal="center" vertical="center"/>
    </xf>
    <xf numFmtId="0" fontId="26" fillId="5" borderId="20" xfId="0" applyFont="1" applyFill="1" applyBorder="1" applyAlignment="1">
      <alignment horizontal="center" vertical="center" wrapText="1"/>
    </xf>
    <xf numFmtId="0" fontId="26" fillId="5" borderId="31" xfId="0" applyFont="1" applyFill="1" applyBorder="1" applyAlignment="1">
      <alignment horizontal="center" vertical="center" wrapText="1"/>
    </xf>
    <xf numFmtId="0" fontId="26" fillId="5" borderId="21" xfId="0" applyFont="1" applyFill="1" applyBorder="1" applyAlignment="1">
      <alignment horizontal="center" vertical="center" wrapText="1"/>
    </xf>
    <xf numFmtId="0" fontId="26" fillId="5" borderId="15" xfId="0" applyFont="1" applyFill="1" applyBorder="1" applyAlignment="1">
      <alignment horizontal="center" vertical="center" wrapText="1"/>
    </xf>
    <xf numFmtId="0" fontId="26" fillId="5" borderId="16" xfId="0" applyFont="1" applyFill="1" applyBorder="1" applyAlignment="1">
      <alignment horizontal="center" vertical="center" wrapText="1"/>
    </xf>
    <xf numFmtId="0" fontId="26" fillId="5" borderId="17" xfId="0" applyFont="1" applyFill="1" applyBorder="1" applyAlignment="1">
      <alignment horizontal="center" vertical="center" wrapText="1"/>
    </xf>
    <xf numFmtId="0" fontId="27" fillId="0" borderId="0" xfId="0" applyFont="1" applyAlignment="1">
      <alignment horizontal="left" vertical="center"/>
    </xf>
    <xf numFmtId="0" fontId="0" fillId="7" borderId="22" xfId="0" applyFill="1" applyBorder="1" applyAlignment="1">
      <alignment horizontal="center" vertical="center" wrapText="1"/>
    </xf>
    <xf numFmtId="0" fontId="0" fillId="7" borderId="19" xfId="0" applyFill="1" applyBorder="1" applyAlignment="1">
      <alignment horizontal="center" vertical="center" wrapText="1"/>
    </xf>
    <xf numFmtId="0" fontId="0" fillId="7" borderId="9" xfId="0" applyFill="1" applyBorder="1" applyAlignment="1">
      <alignment horizontal="center" vertical="center" wrapText="1"/>
    </xf>
    <xf numFmtId="0" fontId="12" fillId="0" borderId="0" xfId="0" applyFont="1" applyAlignment="1">
      <alignment horizontal="left" vertical="center"/>
    </xf>
    <xf numFmtId="0" fontId="14" fillId="5" borderId="20" xfId="0" applyFont="1" applyFill="1" applyBorder="1" applyAlignment="1">
      <alignment horizontal="center" vertical="center" wrapText="1"/>
    </xf>
    <xf numFmtId="0" fontId="14" fillId="5" borderId="31"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0" fillId="9" borderId="89" xfId="0" applyFill="1" applyBorder="1" applyAlignment="1">
      <alignment vertical="center"/>
    </xf>
    <xf numFmtId="0" fontId="0" fillId="9" borderId="90" xfId="0" applyFill="1" applyBorder="1" applyAlignment="1">
      <alignment vertical="center"/>
    </xf>
    <xf numFmtId="0" fontId="26" fillId="0" borderId="20"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21" xfId="0" applyFont="1" applyBorder="1" applyAlignment="1">
      <alignment horizontal="center" vertical="center" wrapText="1"/>
    </xf>
    <xf numFmtId="0" fontId="26" fillId="37" borderId="15" xfId="0" applyFont="1" applyFill="1" applyBorder="1" applyAlignment="1">
      <alignment horizontal="center" vertical="center" wrapText="1"/>
    </xf>
    <xf numFmtId="0" fontId="26" fillId="37" borderId="16" xfId="0" applyFont="1" applyFill="1" applyBorder="1" applyAlignment="1">
      <alignment horizontal="center" vertical="center" wrapText="1"/>
    </xf>
    <xf numFmtId="0" fontId="26" fillId="37" borderId="17" xfId="0" applyFont="1" applyFill="1" applyBorder="1" applyAlignment="1">
      <alignment horizontal="center" vertical="center" wrapText="1"/>
    </xf>
    <xf numFmtId="0" fontId="0" fillId="9" borderId="93" xfId="0" applyFill="1" applyBorder="1" applyAlignment="1">
      <alignment vertical="center"/>
    </xf>
    <xf numFmtId="0" fontId="0" fillId="9" borderId="94" xfId="0" applyFill="1" applyBorder="1" applyAlignment="1">
      <alignment vertical="center"/>
    </xf>
    <xf numFmtId="0" fontId="0" fillId="9" borderId="72" xfId="0" applyFill="1" applyBorder="1" applyAlignment="1">
      <alignment vertical="center"/>
    </xf>
    <xf numFmtId="0" fontId="0" fillId="9" borderId="73" xfId="0" applyFill="1" applyBorder="1" applyAlignment="1">
      <alignment vertical="center"/>
    </xf>
  </cellXfs>
  <cellStyles count="35">
    <cellStyle name="Check Cell" xfId="10" builtinId="23"/>
    <cellStyle name="Comma" xfId="16" builtinId="3"/>
    <cellStyle name="Comma 2" xfId="3" xr:uid="{00000000-0005-0000-0000-000000000000}"/>
    <cellStyle name="Comma 2 2" xfId="7" xr:uid="{FFBD1541-CDE1-4D18-9207-9039DBD3FEB6}"/>
    <cellStyle name="Comma 3" xfId="12" xr:uid="{B108C0F1-6CDD-456B-8D87-2DA38E62197D}"/>
    <cellStyle name="Comma 4" xfId="22" xr:uid="{23224289-B6D7-41EA-90EB-DF5750D4752F}"/>
    <cellStyle name="Comma 5" xfId="24" xr:uid="{5B222CA6-F520-4BC2-9CED-69DCB51430EF}"/>
    <cellStyle name="Currency" xfId="34" builtinId="4"/>
    <cellStyle name="Currency 2" xfId="4" xr:uid="{00000000-0005-0000-0000-000001000000}"/>
    <cellStyle name="Currency 2 2" xfId="30" xr:uid="{22FF2EAF-A8CD-4C11-88F9-22A1CA6733E9}"/>
    <cellStyle name="Currency 3" xfId="14" xr:uid="{07A369A2-6AF2-4352-BF1E-E65574B341CE}"/>
    <cellStyle name="Currency 4" xfId="21" xr:uid="{061251B1-A0DA-498C-B158-8131ABB3C983}"/>
    <cellStyle name="Currency 5" xfId="25" xr:uid="{9A8C4766-0871-4DBA-9CC3-24AAA4F277F3}"/>
    <cellStyle name="Hyperlink" xfId="6" builtinId="8"/>
    <cellStyle name="Normal" xfId="0" builtinId="0"/>
    <cellStyle name="Normal 10" xfId="33" xr:uid="{C05CBCA6-E67E-46C3-B857-98E483429FD7}"/>
    <cellStyle name="Normal 2" xfId="1" xr:uid="{00000000-0005-0000-0000-000004000000}"/>
    <cellStyle name="Normal 2 2" xfId="5" xr:uid="{8D2EE50A-35C7-4505-8805-089CF75003A7}"/>
    <cellStyle name="Normal 2 2 2" xfId="28" xr:uid="{22851B5A-D8AB-4CD8-8E9D-FBE23E378D61}"/>
    <cellStyle name="Normal 2 3" xfId="27" xr:uid="{4A6C4A5E-3388-4B71-AD4A-8BD7791AF5FD}"/>
    <cellStyle name="Normal 3" xfId="11" xr:uid="{BCCFB1CE-F646-423D-8F82-4530E56294A3}"/>
    <cellStyle name="Normal 4" xfId="17" xr:uid="{9622DB35-07B0-4E6C-A71F-62EECC371D66}"/>
    <cellStyle name="Normal 5" xfId="18" xr:uid="{3E19E7D6-5EFC-4B86-A6C9-A2DCB925BB1A}"/>
    <cellStyle name="Normal 6" xfId="19" xr:uid="{F4A4C2DD-AD12-43C3-A2B1-228AC2C48812}"/>
    <cellStyle name="Normal 7" xfId="23" xr:uid="{3941927B-7BE8-42A8-88E4-5A64492B4B00}"/>
    <cellStyle name="Normal 8" xfId="29" xr:uid="{3E0FBA96-0504-4376-A18A-E88D45955493}"/>
    <cellStyle name="Normal 9" xfId="32" xr:uid="{C0E08A33-77E0-4581-851D-6FBE860C389F}"/>
    <cellStyle name="Output 2" xfId="15" xr:uid="{CD7D90F7-430C-4CD7-82DD-C9E76E6C4EC5}"/>
    <cellStyle name="Percent" xfId="9" builtinId="5"/>
    <cellStyle name="Percent 2" xfId="2" xr:uid="{00000000-0005-0000-0000-000005000000}"/>
    <cellStyle name="Percent 2 2" xfId="8" xr:uid="{05C4A633-8CE2-4890-BEA8-0B874BDF168C}"/>
    <cellStyle name="Percent 3" xfId="13" xr:uid="{ECB7084D-0607-4C90-977A-470CEB062E6F}"/>
    <cellStyle name="Percent 4" xfId="20" xr:uid="{B4F95ADC-0FF2-457F-89E0-3CA815FEF968}"/>
    <cellStyle name="Percent 5" xfId="26" xr:uid="{48F4F38F-58B7-4227-BE0C-485AA6B07B25}"/>
    <cellStyle name="Percent 6" xfId="31" xr:uid="{51315738-6414-4E41-B90E-CCAD83A4F2D2}"/>
  </cellStyles>
  <dxfs count="0"/>
  <tableStyles count="0" defaultTableStyle="TableStyleMedium2" defaultPivotStyle="PivotStyleLight16"/>
  <colors>
    <mruColors>
      <color rgb="FFE7E6E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theme" Target="theme/theme1.xml"/><Relationship Id="rId47" Type="http://schemas.openxmlformats.org/officeDocument/2006/relationships/customXml" Target="../customXml/item1.xml"/><Relationship Id="rId50"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styles" Target="styles.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s>
</file>

<file path=xl/documenttasks/documenttask1.xml><?xml version="1.0" encoding="utf-8"?>
<Tasks xmlns="http://schemas.microsoft.com/office/tasks/2019/documenttasks">
  <Task id="{957B04C3-134B-4288-AEB2-6CDB9A28BD91}">
    <Anchor>
      <Comment id="{5E2F3FBB-D01D-41C8-8E60-23339CEFF369}"/>
    </Anchor>
    <History>
      <Event time="2022-01-26T20:59:08.63" id="{329F2610-C116-4948-8A13-87CA75BE4C43}">
        <Attribution userId="S::jkaminsky@semprautilities.com::8c1d334c-d73d-4423-a656-24aef1a08c19" userName="Kaminsky, Jennifer L" userProvider="AD"/>
        <Anchor>
          <Comment id="{5E2F3FBB-D01D-41C8-8E60-23339CEFF369}"/>
        </Anchor>
        <Create/>
      </Event>
      <Event time="2022-01-26T20:59:08.63" id="{C6AAD6F9-F039-483F-921F-C268BE1488E7}">
        <Attribution userId="S::jkaminsky@semprautilities.com::8c1d334c-d73d-4423-a656-24aef1a08c19" userName="Kaminsky, Jennifer L" userProvider="AD"/>
        <Anchor>
          <Comment id="{5E2F3FBB-D01D-41C8-8E60-23339CEFF369}"/>
        </Anchor>
        <Assign userId="S::KGalloway@semprautilities.com::a9920802-28ec-4860-b0de-03eb7e1e9574" userName="Galloway, Kevin R" userProvider="AD"/>
      </Event>
      <Event time="2022-01-26T20:59:08.63" id="{E2DE731E-BF30-4FF8-A841-7ACCEF38227C}">
        <Attribution userId="S::jkaminsky@semprautilities.com::8c1d334c-d73d-4423-a656-24aef1a08c19" userName="Kaminsky, Jennifer L" userProvider="AD"/>
        <Anchor>
          <Comment id="{5E2F3FBB-D01D-41C8-8E60-23339CEFF369}"/>
        </Anchor>
        <SetTitle title="@Galloway, Kevin R The DIAR program is currently scheduled to stop flights at the end of 2022 and drone flights will start in 2023 asw part of the CMP program. How would you like to handle this with TCM taking over flights in 2023?"/>
      </Event>
    </History>
  </Task>
</Tasks>
</file>

<file path=xl/documenttasks/documenttask2.xml><?xml version="1.0" encoding="utf-8"?>
<Tasks xmlns="http://schemas.microsoft.com/office/tasks/2019/documenttasks">
  <Task id="{4EF05BA6-180A-42D3-A7E1-08B62D0449B0}">
    <Anchor>
      <Comment id="{A7F08DF1-25F8-4B53-85E1-0915D67A6D69}"/>
    </Anchor>
    <History>
      <Event time="2022-01-21T22:58:54.88" id="{C093D06F-2492-449B-ADC3-EFE7AB3F7AA2}">
        <Attribution userId="S::gsemmer@sdge.com::2c81a64a-f827-4dd2-bfe3-3c18f37bb6c8" userName="Semmer, Gillian M" userProvider="AD"/>
        <Anchor>
          <Comment id="{A7F08DF1-25F8-4B53-85E1-0915D67A6D69}"/>
        </Anchor>
        <Create/>
      </Event>
      <Event time="2022-01-21T22:58:54.88" id="{A2201852-E65F-4B46-8C19-AC8FA75AF646}">
        <Attribution userId="S::gsemmer@sdge.com::2c81a64a-f827-4dd2-bfe3-3c18f37bb6c8" userName="Semmer, Gillian M" userProvider="AD"/>
        <Anchor>
          <Comment id="{A7F08DF1-25F8-4B53-85E1-0915D67A6D69}"/>
        </Anchor>
        <Assign userId="S::SZhou@SEUContractor.com::2a67afd6-1b6e-48e9-9c01-f9ef4378608a" userName="Zhou, Summer (Contractor)" userProvider="AD"/>
      </Event>
      <Event time="2022-01-21T22:58:54.88" id="{149C89CA-9550-4909-A097-A7EDEE3522E5}">
        <Attribution userId="S::gsemmer@sdge.com::2c81a64a-f827-4dd2-bfe3-3c18f37bb6c8" userName="Semmer, Gillian M" userProvider="AD"/>
        <Anchor>
          <Comment id="{A7F08DF1-25F8-4B53-85E1-0915D67A6D69}"/>
        </Anchor>
        <SetTitle title="@Zhou, Summer (Contractor) looking at the latest dashboard i see number installed in 2021 of 3509 can you please double check your source and let alex and paul know (they were on meeting we discussed this)"/>
      </Event>
      <Event time="2022-01-21T23:12:22.18" id="{F2FAB2F1-383D-4924-8E35-A20952186050}">
        <Attribution userId="S::gsemmer@sdge.com::2c81a64a-f827-4dd2-bfe3-3c18f37bb6c8" userName="Semmer, Gillian M" userProvider="AD"/>
        <Progress percentComplete="100"/>
      </Event>
      <Event time="2022-01-21T23:14:24.08" id="{8974D1DF-C40F-4CB3-8721-29FF549F4255}">
        <Attribution userId="S::gsemmer@sdge.com::2c81a64a-f827-4dd2-bfe3-3c18f37bb6c8" userName="Semmer, Gillian M" userProvider="AD"/>
        <Progress percentComplete="0"/>
      </Event>
      <Event time="2022-01-24T18:20:35.59" id="{60DCF36E-2745-4D4B-9D1C-4D46903BDDB0}">
        <Attribution userId="S::gsemmer@sdge.com::2c81a64a-f827-4dd2-bfe3-3c18f37bb6c8" userName="Semmer, Gillian M" userProvider="AD"/>
        <Progress percentComplete="100"/>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266700</xdr:colOff>
      <xdr:row>3</xdr:row>
      <xdr:rowOff>30480</xdr:rowOff>
    </xdr:from>
    <xdr:to>
      <xdr:col>7</xdr:col>
      <xdr:colOff>266700</xdr:colOff>
      <xdr:row>7</xdr:row>
      <xdr:rowOff>152400</xdr:rowOff>
    </xdr:to>
    <xdr:pic>
      <xdr:nvPicPr>
        <xdr:cNvPr id="2" name="Picture 7">
          <a:extLst>
            <a:ext uri="{FF2B5EF4-FFF2-40B4-BE49-F238E27FC236}">
              <a16:creationId xmlns:a16="http://schemas.microsoft.com/office/drawing/2014/main" id="{0C36529B-0CDB-4B52-B0D6-CA805AD92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8350" y="601980"/>
          <a:ext cx="2362200" cy="1388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150814</xdr:colOff>
      <xdr:row>14</xdr:row>
      <xdr:rowOff>87313</xdr:rowOff>
    </xdr:from>
    <xdr:to>
      <xdr:col>10</xdr:col>
      <xdr:colOff>127001</xdr:colOff>
      <xdr:row>18</xdr:row>
      <xdr:rowOff>23812</xdr:rowOff>
    </xdr:to>
    <xdr:cxnSp macro="">
      <xdr:nvCxnSpPr>
        <xdr:cNvPr id="3" name="Straight Arrow Connector 2">
          <a:extLst>
            <a:ext uri="{FF2B5EF4-FFF2-40B4-BE49-F238E27FC236}">
              <a16:creationId xmlns:a16="http://schemas.microsoft.com/office/drawing/2014/main" id="{62E0F397-3A2A-45C1-AAC1-733258425FF7}"/>
            </a:ext>
          </a:extLst>
        </xdr:cNvPr>
        <xdr:cNvCxnSpPr/>
      </xdr:nvCxnSpPr>
      <xdr:spPr>
        <a:xfrm flipH="1">
          <a:off x="9263064" y="3214688"/>
          <a:ext cx="2166937" cy="865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960437</xdr:colOff>
      <xdr:row>27</xdr:row>
      <xdr:rowOff>15876</xdr:rowOff>
    </xdr:from>
    <xdr:to>
      <xdr:col>9</xdr:col>
      <xdr:colOff>936624</xdr:colOff>
      <xdr:row>30</xdr:row>
      <xdr:rowOff>134938</xdr:rowOff>
    </xdr:to>
    <xdr:cxnSp macro="">
      <xdr:nvCxnSpPr>
        <xdr:cNvPr id="6" name="Straight Arrow Connector 5">
          <a:extLst>
            <a:ext uri="{FF2B5EF4-FFF2-40B4-BE49-F238E27FC236}">
              <a16:creationId xmlns:a16="http://schemas.microsoft.com/office/drawing/2014/main" id="{189AA576-C50E-4DF7-B46F-001DEFA359A1}"/>
            </a:ext>
          </a:extLst>
        </xdr:cNvPr>
        <xdr:cNvCxnSpPr/>
      </xdr:nvCxnSpPr>
      <xdr:spPr>
        <a:xfrm flipH="1">
          <a:off x="8977312" y="5921376"/>
          <a:ext cx="2166937" cy="865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SEU_Risk_Mgmt/7_Quantative_Models/2020%20ERM/2021%20RAMP%20(Attorney%20Work%20Product)/1_EII%20(Attorney%20Work%20Product)/RSE/1_SDG&amp;E%20EII%20(Attorney%20Work%20Product)_V2.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empra-my.sharepoint.com/personal/patrycja_bednarczyk_accenture_com/Documents/Microsoft%20Teams%20Chat%20Files/Final%20TY2024%20GRC%20RSE%20Workpaper%20-SDG&amp;E%20EII.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sempra-my.sharepoint.com/personal/gricotta_seucontractor_com/Documents/93240/2019%2093240%20Queue%20District%20Update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empra-my.sharepoint.com/teams/grc/Shared%20Documents/TY%202024%20GRC%20-%20General%20Rate%20Case/RAMP%20to%20GRC%20Integration/Quant%20Files/Draft%20RSE%20Workpapers/SDGE%20-%20HP/Prelim%20GRC%202022%20RSE%20Workpaper%20-%20SDGE%20HP.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ts.accenture.com/sites/Sempra-RAMP2020/Shared%20Documents/Sempra%20-%20GRC%202022/SoCalGas/Workpaper%20Prototypes/Baseline%20Refresh/Final%202021%20RSE%20Workpaper%20-%20SCG%20MP%20-%20V2%20-%20Baseline%20Refresh.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empra-my.sharepoint.com/personal/patrycja_bednarczyk_accenture_com/Documents/Microsoft%20Teams%20Chat%20Files/Final%20TY2024%20GRC%20RSE%20Workpaper%20-%20SDGE%20-%20MP.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empra-my.sharepoint.com/teams/grc/Shared%20Documents/TY%202024%20GRC%20-%20General%20Rate%20Case/RAMP%20to%20GRC%20Integration/Quant%20Files/Final%20RSE%20Workpapers%20TY2024%20GRC/Final%20TY2024%20GRC%20RSE%20Workpaper%20-%20SDGE%20-%20CON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ts.accenture.com/sites/Sempra-RAMP2020/Shared%20Documents/Sempra%20-%20GRC%202022/SoCalGas/Workpaper%20Prototypes/Final%202021%20RSE%20Workpaper%20-%20SCG%20CON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anseradvisory-my.sharepoint.com/personal/jyork_semprautilities_com/Documents/documents/2021%20RAMP/2019%20RAMP%20SDGE_Wildfire_Mitigation%20Cost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sempra-my.sharepoint.com/teams/grc/Shared%20Documents/TY%202024%20GRC%20-%20General%20Rate%20Case/RAMP%20to%20GRC%20Integration/Quant%20Files/Draft%20RSE%20Workpapers/SDGE%20Wildfire/Prelim%20GRC%202022%20RSE%20Workpaper%20-SDG&amp;E%20Wildfir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empra-my.sharepoint.com/sites/Sempra-RAMP2020/Shared%20Documents/Sempra%20-%20GRC%202022/SDG&amp;E/RAMP%20Data%20&amp;%20Analysis/Final%20Analysis/SDGE/Final%202021%20workpaper%20-SDG&amp;E%20EII_Level%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s.accenture.com/sites/Sempra-RAMP2020/Shared%20Documents/Sempra%20-%20GRC%202022/SoCalGas/Workpaper%20Prototypes/Final%202021%20RSE%20Workpaper%20-%20SCG%20STOR.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ts.accenture.com/sites/Sempra-RAMP2020/Shared%20Documents/General/RSE%20Workpapers%202021/RSE%20Workpaper%202021%20-%20SCG%20EMPL.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sempra-my.sharepoint.com/sites/Sempra-RAMP2020/Shared%20Documents/General/RSE%20Workpapers%202021/RSE%20Workpaper%202021%20-%20SCG%20MP.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empra-my.sharepoint.com/teams/grc/Shared%20Documents/2021%20RAMP%20(TY%202024)/Tier%202%20Workpapers/SDG&amp;E/SDG&amp;E%20Employee%20workpaper_valueonl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empra-my.sharepoint.com/Users/patrycja.bednarczyk/Desktop/Final%202021%20RSE%20Workpaper%20-%20SDGE%20Wildefire_Level%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empra-my.sharepoint.com/sites/Sempra-RAMP2020/Shared%20Documents/Sempra%20-%20GRC%202022/SDG&amp;E/RAMP%20Data%20&amp;%20Analysis/SDG&amp;E%20Wildfire_Level%202_DISCOUNT%20ANALYS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empra-my.sharepoint.com/sites/Sempra-RAMP2020/Shared%20Documents/Sempra%20-%20GRC%202022/Wildfire%20team/Working_Documents/SDG&amp;E-WildfiresMasterFilev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B.griffin/AppData/Local/Microsoft/Windows/INetCache/Content.Outlook/JUHIVKYB/Draft%20GRC%20PTY%20RSE%20Workpaper%20-%20SCG%20HP%2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empra-my.sharepoint.com/sites/Sempra-RAMP2020/Shared%20Documents/Sempra%20-%20GRC%202022/SDG&amp;E/RAMP%20Data%20&amp;%20Analysis/Mitigation%20Drill%20Down-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empra-my.sharepoint.com/teams/grc/Shared%20Documents/TY%202024%20GRC%20-%20General%20Rate%20Case/RAMP%20to%20GRC%20Integration/Quant%20Files/Draft%20RSE%20Workpapers/SDGE%20-%20EII/Prelim%20GRC%202022%20RSE%20Workpaper%20-SDG&amp;E%20EI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Score"/>
      <sheetName val="MAVF"/>
      <sheetName val="LoRE"/>
      <sheetName val="Safety-&gt;"/>
      <sheetName val="Pub-SIF Descriptions"/>
      <sheetName val="SIF Descriptions 2015 - 2020"/>
      <sheetName val="Reliability"/>
      <sheetName val="Financial"/>
      <sheetName val="Stakerholder"/>
      <sheetName val="RSE_Inputs"/>
      <sheetName val="Kearny_Andrew"/>
      <sheetName val="RSE_list"/>
      <sheetName val="RSE"/>
      <sheetName val="Sheet1"/>
      <sheetName val="Sheet2"/>
      <sheetName val="EII-1"/>
      <sheetName val="EII-2-3"/>
      <sheetName val="EII-5"/>
      <sheetName val="EII-5-old"/>
      <sheetName val="EII-6"/>
      <sheetName val="EII-7"/>
      <sheetName val="EII-8"/>
      <sheetName val="EII-10"/>
      <sheetName val="EII-11-12-13"/>
      <sheetName val="EII-11-12-13(old)"/>
      <sheetName val="EII-14"/>
      <sheetName val="EII-14-old"/>
      <sheetName val="EII-15"/>
      <sheetName val="EII-16"/>
      <sheetName val="EII-17"/>
      <sheetName val="EII-18"/>
      <sheetName val="EII-19"/>
      <sheetName val="EII-20"/>
      <sheetName val="EII-21"/>
      <sheetName val="EII-22"/>
      <sheetName val="EII-23"/>
      <sheetName val="EII-24"/>
      <sheetName val="EII-25"/>
      <sheetName val="EII-26"/>
      <sheetName val="EII 27"/>
      <sheetName val="EII-29"/>
      <sheetName val="A1"/>
      <sheetName val="A2"/>
      <sheetName val="A3"/>
      <sheetName val="A4"/>
      <sheetName val="A4-data"/>
      <sheetName val="EII-Substation"/>
      <sheetName val="Sheet69"/>
    </sheetNames>
    <sheetDataSet>
      <sheetData sheetId="0"/>
      <sheetData sheetId="1"/>
      <sheetData sheetId="2"/>
      <sheetData sheetId="3"/>
      <sheetData sheetId="4"/>
      <sheetData sheetId="5"/>
      <sheetData sheetId="6"/>
      <sheetData sheetId="7"/>
      <sheetData sheetId="8">
        <row r="4">
          <cell r="I4">
            <v>38</v>
          </cell>
        </row>
        <row r="5">
          <cell r="I5">
            <v>1.9713219591185375E-4</v>
          </cell>
        </row>
        <row r="6">
          <cell r="I6">
            <v>42</v>
          </cell>
        </row>
        <row r="7">
          <cell r="I7">
            <v>14</v>
          </cell>
        </row>
      </sheetData>
      <sheetData sheetId="9">
        <row r="22">
          <cell r="B22">
            <v>1491385</v>
          </cell>
        </row>
        <row r="28">
          <cell r="B28">
            <v>7.2999999999999996E-4</v>
          </cell>
        </row>
        <row r="29">
          <cell r="B29">
            <v>0.58799999999999997</v>
          </cell>
        </row>
        <row r="30">
          <cell r="B30">
            <v>9.9999999999999395E-4</v>
          </cell>
        </row>
        <row r="31">
          <cell r="B31">
            <v>0.26700000000000002</v>
          </cell>
        </row>
        <row r="32">
          <cell r="B32">
            <v>1.7751371115173674E-3</v>
          </cell>
        </row>
        <row r="33">
          <cell r="B33">
            <v>6.5693430656934308E-3</v>
          </cell>
        </row>
        <row r="34">
          <cell r="B34">
            <v>1.6348773841961851E-3</v>
          </cell>
        </row>
        <row r="35">
          <cell r="B35">
            <v>4.5454545454545452E-3</v>
          </cell>
        </row>
        <row r="36">
          <cell r="B36">
            <v>3.3670033670033669E-3</v>
          </cell>
        </row>
        <row r="37">
          <cell r="B37">
            <v>5.4090601757944556E-4</v>
          </cell>
        </row>
        <row r="38">
          <cell r="B38">
            <v>1.8018018018018016E-3</v>
          </cell>
        </row>
        <row r="39">
          <cell r="B39">
            <v>1.6348773841961851E-3</v>
          </cell>
        </row>
        <row r="40">
          <cell r="B40">
            <v>5.4090601757944556E-4</v>
          </cell>
        </row>
        <row r="41">
          <cell r="B41">
            <v>1.7751371115173669E-4</v>
          </cell>
        </row>
        <row r="42">
          <cell r="B42">
            <v>6.135629362420101E-3</v>
          </cell>
        </row>
        <row r="43">
          <cell r="B43">
            <v>3.614457831325301E-2</v>
          </cell>
        </row>
        <row r="44">
          <cell r="B44">
            <v>3.6144578313253004E-3</v>
          </cell>
        </row>
        <row r="54">
          <cell r="B54">
            <v>121.75</v>
          </cell>
        </row>
        <row r="56">
          <cell r="B56">
            <v>265.32199867554829</v>
          </cell>
        </row>
        <row r="57">
          <cell r="B57">
            <v>110.33912416687653</v>
          </cell>
        </row>
        <row r="58">
          <cell r="B58">
            <v>138.0221533624991</v>
          </cell>
        </row>
        <row r="59">
          <cell r="B59">
            <v>110.33912416687653</v>
          </cell>
        </row>
        <row r="60">
          <cell r="B60">
            <v>194.46</v>
          </cell>
        </row>
        <row r="61">
          <cell r="B61">
            <v>173.81</v>
          </cell>
        </row>
        <row r="83">
          <cell r="B83">
            <v>492000</v>
          </cell>
        </row>
        <row r="84">
          <cell r="B84">
            <v>457000</v>
          </cell>
        </row>
        <row r="85">
          <cell r="B85">
            <v>31750</v>
          </cell>
        </row>
        <row r="86">
          <cell r="B86">
            <v>10000</v>
          </cell>
        </row>
        <row r="87">
          <cell r="B87">
            <v>31750</v>
          </cell>
        </row>
        <row r="89">
          <cell r="B89">
            <v>5000</v>
          </cell>
        </row>
        <row r="90">
          <cell r="B90">
            <v>2500</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cription"/>
      <sheetName val="Master Inputs"/>
      <sheetName val="Risk Scoring Workpaper '21"/>
      <sheetName val="RSE Summary '21"/>
      <sheetName val="RSE Workpaper '21"/>
      <sheetName val="Baseline refresh"/>
      <sheetName val="Risk Scoring Workpaper '23"/>
      <sheetName val="RSE Summary '23"/>
      <sheetName val="RSE Workpaper '23"/>
      <sheetName val="CFF1 - SDGE "/>
      <sheetName val="CFF4 - SDGE"/>
      <sheetName val="CFF5 - SDGE"/>
      <sheetName val="CFF6 - SDGE "/>
      <sheetName val="CFF7 - SDGE"/>
      <sheetName val="CFF8 - SDGE"/>
      <sheetName val="Final TY2024 GRC RSE Workpaper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sheetName val="CM"/>
      <sheetName val="EA"/>
      <sheetName val="NC"/>
      <sheetName val="NE"/>
      <sheetName val="OC"/>
      <sheetName val="RA"/>
      <sheetName val="Lists"/>
    </sheetNames>
    <sheetDataSet>
      <sheetData sheetId="0"/>
      <sheetData sheetId="1"/>
      <sheetData sheetId="2"/>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tigated Risk Scores"/>
      <sheetName val="Cover"/>
      <sheetName val="Description"/>
      <sheetName val="Master Inputs"/>
      <sheetName val="Risk Scoring Workpaper '21"/>
      <sheetName val="RSE Summary '21"/>
      <sheetName val="RSE Workpaper '21"/>
      <sheetName val="SDGE HP Baseline"/>
      <sheetName val="Risk Scoring Workpaper '23"/>
      <sheetName val="RSE Summary '23"/>
      <sheetName val="RSE Workpaper '23"/>
      <sheetName val="CFF1 - SDGE "/>
      <sheetName val="CFF4 - SDGE"/>
      <sheetName val="CFF5 - SDGE"/>
      <sheetName val="CFF6 - SDGE "/>
      <sheetName val="CFF7 - SDGE"/>
      <sheetName val="CFF8 - SDGE"/>
      <sheetName val="CFF6 - SDGE"/>
      <sheetName val="Risk Scoring Workpaper"/>
      <sheetName val="RSE Summary"/>
      <sheetName val="RSE Workpap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tigated Risk Scores"/>
      <sheetName val="Cover"/>
      <sheetName val="Description"/>
      <sheetName val="Master Inputs"/>
      <sheetName val="Risk Scoring Workpaper"/>
      <sheetName val="RSE Summary "/>
      <sheetName val="RSE Workpaper"/>
      <sheetName val="Baseline Refresh"/>
    </sheetNames>
    <sheetDataSet>
      <sheetData sheetId="0"/>
      <sheetData sheetId="1"/>
      <sheetData sheetId="2"/>
      <sheetData sheetId="3"/>
      <sheetData sheetId="4">
        <row r="23">
          <cell r="D23">
            <v>31.07958009085662</v>
          </cell>
        </row>
        <row r="24">
          <cell r="D24">
            <v>8.1530594820654425</v>
          </cell>
        </row>
        <row r="25">
          <cell r="D25">
            <v>0.40687947194228913</v>
          </cell>
        </row>
        <row r="26">
          <cell r="D26">
            <v>0.99962733645280633</v>
          </cell>
        </row>
        <row r="27">
          <cell r="D27">
            <v>9.5595662904605376</v>
          </cell>
        </row>
        <row r="30">
          <cell r="D30">
            <v>93.50313828226551</v>
          </cell>
        </row>
        <row r="31">
          <cell r="D31">
            <v>5.2707236756681537</v>
          </cell>
        </row>
        <row r="32">
          <cell r="D32">
            <v>0.2012214673713919</v>
          </cell>
        </row>
        <row r="33">
          <cell r="D33">
            <v>0</v>
          </cell>
        </row>
        <row r="34">
          <cell r="D34">
            <v>5.4719451430395454</v>
          </cell>
        </row>
        <row r="37">
          <cell r="D37">
            <v>42.147165821895506</v>
          </cell>
        </row>
        <row r="38">
          <cell r="D38">
            <v>7.9563247474004717</v>
          </cell>
        </row>
        <row r="39">
          <cell r="D39">
            <v>2.3176439345754098</v>
          </cell>
        </row>
        <row r="40">
          <cell r="D40">
            <v>0.60424724149950559</v>
          </cell>
        </row>
        <row r="41">
          <cell r="D41">
            <v>10.878215923475388</v>
          </cell>
        </row>
        <row r="45">
          <cell r="D45">
            <v>1.0548514749787774</v>
          </cell>
        </row>
        <row r="46">
          <cell r="D46">
            <v>0.62553602881159531</v>
          </cell>
        </row>
        <row r="47">
          <cell r="D47">
            <v>0</v>
          </cell>
        </row>
        <row r="48">
          <cell r="D48">
            <v>1.6803875037903726</v>
          </cell>
        </row>
        <row r="52">
          <cell r="D52">
            <v>28.619202606569061</v>
          </cell>
        </row>
        <row r="53">
          <cell r="D53">
            <v>1.0472378521380024</v>
          </cell>
        </row>
        <row r="54">
          <cell r="D54">
            <v>0</v>
          </cell>
        </row>
        <row r="55">
          <cell r="D55">
            <v>29.666440458707065</v>
          </cell>
        </row>
      </sheetData>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tigated Risk Scores"/>
      <sheetName val="Cover"/>
      <sheetName val="Description"/>
      <sheetName val="Master Inputs"/>
      <sheetName val="Risk Scoring Workpaper '21"/>
      <sheetName val="RSE Summary '21"/>
      <sheetName val="RSE Workpaper '21"/>
      <sheetName val="SDGE MP Baseline"/>
      <sheetName val="Risk Scoring Workpaper '23"/>
      <sheetName val="RSE Summary '23"/>
      <sheetName val="RSE Workpaper '23"/>
      <sheetName val="CFF1 - SDGE "/>
      <sheetName val="CFF4 - SDGE"/>
      <sheetName val="CFF5 - SDGE"/>
      <sheetName val="CFF6 - SDGE "/>
      <sheetName val="CFF7 - SDGE"/>
      <sheetName val="CFF8 - SDGE"/>
      <sheetName val="Sheet1"/>
      <sheetName val="Sheet2"/>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cription"/>
      <sheetName val="Master Inputs"/>
      <sheetName val="Risk Scoring Workpaper '21"/>
      <sheetName val="RSE Summary '21"/>
      <sheetName val="SDGE CONT Baseline"/>
      <sheetName val="Risk Scoring Workpaper '23"/>
      <sheetName val="RSE Summary '23"/>
      <sheetName val="CFF1 - SDGE "/>
      <sheetName val="CFF4 - SDGE"/>
      <sheetName val="CFF5 - SDGE"/>
      <sheetName val="CFF6 - SDGE "/>
      <sheetName val="CFF7 - SDGE"/>
      <sheetName val="CFF8 - SD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tigated Risk Scores"/>
      <sheetName val="Cover"/>
      <sheetName val="Description"/>
      <sheetName val="Master Inputs"/>
      <sheetName val="Risk Scoring Workpaper"/>
      <sheetName val="RSE Summary"/>
      <sheetName val="RSE Summary (2)"/>
      <sheetName val="RSE Workpaper"/>
    </sheetNames>
    <sheetDataSet>
      <sheetData sheetId="0"/>
      <sheetData sheetId="1"/>
      <sheetData sheetId="2"/>
      <sheetData sheetId="3"/>
      <sheetData sheetId="4">
        <row r="32">
          <cell r="D32">
            <v>121.52719702012212</v>
          </cell>
        </row>
        <row r="33">
          <cell r="D33">
            <v>0</v>
          </cell>
        </row>
        <row r="34">
          <cell r="D34">
            <v>0.18880750800000004</v>
          </cell>
        </row>
        <row r="35">
          <cell r="D35">
            <v>0</v>
          </cell>
        </row>
        <row r="36">
          <cell r="D36">
            <v>0.18880750800000004</v>
          </cell>
        </row>
        <row r="39">
          <cell r="D39">
            <v>23.240120079582553</v>
          </cell>
        </row>
        <row r="41">
          <cell r="D41">
            <v>1.4812172500434713</v>
          </cell>
        </row>
        <row r="43">
          <cell r="D43">
            <v>16.20349981830331</v>
          </cell>
        </row>
      </sheetData>
      <sheetData sheetId="5"/>
      <sheetData sheetId="6"/>
      <sheetData sheetId="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Sheet1"/>
      <sheetName val="Mitigation List - Cost Sum View"/>
      <sheetName val="Fire Hardening Capital"/>
      <sheetName val="Mitigation Plan"/>
      <sheetName val="Capital Project List"/>
      <sheetName val="239 CMP"/>
      <sheetName val="Vision List"/>
      <sheetName val="Asset Mgmt"/>
      <sheetName val="Energy Storage"/>
      <sheetName val="WM Dept"/>
      <sheetName val="Sub&amp;Tran Inspections"/>
      <sheetName val="HFTD % Alloc."/>
      <sheetName val="Hist Costs - Capital raw data"/>
      <sheetName val="O&amp;M Summary"/>
      <sheetName val="Asset Mgmt Pivot"/>
      <sheetName val="Asset Mgmt Data"/>
      <sheetName val="Aviation Pivot"/>
      <sheetName val="Aviation Data"/>
      <sheetName val="Communication Pivot"/>
      <sheetName val="Communication Data"/>
      <sheetName val="Emergency Mgmt Pivot"/>
      <sheetName val="Emergency Mgmt Data"/>
      <sheetName val="FS&amp;CA Pivot"/>
      <sheetName val="FS&amp;CA Data"/>
      <sheetName val="Hotline Clamps"/>
      <sheetName val="Industrial Fire Brigade Pivot"/>
      <sheetName val="Industrial Fire Brigade Data"/>
      <sheetName val="Pole Brushing Pivot"/>
      <sheetName val="Pole Brushing Data"/>
      <sheetName val="Wildfire Protection Teams Pivot"/>
      <sheetName val="Wildfire Protection Teams Data"/>
      <sheetName val="Wildfire Protection Teams IO LU"/>
      <sheetName val="Sub Trans Pivots"/>
      <sheetName val="Sub Trans Data"/>
      <sheetName val="Dist Sys Inspections"/>
      <sheetName val="Patrol Count Historical %HFTD"/>
      <sheetName val="TTBA"/>
      <sheetName val="Constant 2018$ with V&amp;S Samples"/>
      <sheetName val="V&amp;S"/>
      <sheetName val="Escalation Rates"/>
      <sheetName val="SDG&amp;E Common Allocations"/>
      <sheetName val="Lookups"/>
      <sheetName val="Cost Summary"/>
      <sheetName val="Risk Funding Sensitiv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3">
          <cell r="C3" t="str">
            <v>GRC</v>
          </cell>
          <cell r="G3" t="str">
            <v>Operations &amp; Engineering</v>
          </cell>
        </row>
        <row r="4">
          <cell r="C4" t="str">
            <v>FERC</v>
          </cell>
          <cell r="G4" t="str">
            <v>Inspections</v>
          </cell>
        </row>
        <row r="5">
          <cell r="C5" t="str">
            <v>Other</v>
          </cell>
          <cell r="G5" t="str">
            <v>System Hardening</v>
          </cell>
        </row>
        <row r="6">
          <cell r="G6" t="str">
            <v>Vegetation Management</v>
          </cell>
        </row>
        <row r="7">
          <cell r="G7" t="str">
            <v>Situational Awareness &amp; Asset Prioritization</v>
          </cell>
        </row>
        <row r="8">
          <cell r="G8" t="str">
            <v>Public Safety Power Shutoff</v>
          </cell>
        </row>
        <row r="9">
          <cell r="G9" t="str">
            <v>Preparedness &amp; Response</v>
          </cell>
        </row>
      </sheetData>
      <sheetData sheetId="43"/>
      <sheetData sheetId="4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cription"/>
      <sheetName val="Master Inputs"/>
      <sheetName val="Risk Scoring Workpaper"/>
      <sheetName val="RSE Summary"/>
      <sheetName val="Wildfire risk reduction"/>
      <sheetName val="PSPS risk reduction"/>
      <sheetName val="Baseline"/>
    </sheetNames>
    <sheetDataSet>
      <sheetData sheetId="0"/>
      <sheetData sheetId="1"/>
      <sheetData sheetId="2"/>
      <sheetData sheetId="3"/>
      <sheetData sheetId="4"/>
      <sheetData sheetId="5"/>
      <sheetData sheetId="6"/>
      <sheetData sheetId="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Cover"/>
      <sheetName val="Description"/>
      <sheetName val="Master Inputs "/>
      <sheetName val="RSE Summary"/>
      <sheetName val="1. Discount Sensitivity"/>
      <sheetName val="2A. LoRE &amp; CoRE Decomposed"/>
      <sheetName val="4. Component PreMit Risk Score"/>
      <sheetName val="3. Portfolio Sensitivity"/>
      <sheetName val="Sheet1"/>
      <sheetName val="Supplemental Chart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tigated Risk Scores"/>
      <sheetName val="Cover"/>
      <sheetName val="Description"/>
      <sheetName val="Master Inputs"/>
      <sheetName val="Risk Scoring Workpaper"/>
      <sheetName val="RSE Summary"/>
      <sheetName val="RSE Workpaper"/>
      <sheetName val="Baseline refresh"/>
    </sheetNames>
    <sheetDataSet>
      <sheetData sheetId="0"/>
      <sheetData sheetId="1"/>
      <sheetData sheetId="2"/>
      <sheetData sheetId="3">
        <row r="17">
          <cell r="C17">
            <v>1</v>
          </cell>
        </row>
      </sheetData>
      <sheetData sheetId="4">
        <row r="23">
          <cell r="D23">
            <v>0.26190476190476192</v>
          </cell>
        </row>
        <row r="24">
          <cell r="D24">
            <v>954.5454545454545</v>
          </cell>
        </row>
        <row r="25">
          <cell r="D25">
            <v>4000.2159090909095</v>
          </cell>
        </row>
        <row r="26">
          <cell r="D26">
            <v>4241.7867420000075</v>
          </cell>
        </row>
        <row r="27">
          <cell r="D27">
            <v>9196.5481056363715</v>
          </cell>
        </row>
        <row r="30">
          <cell r="D30">
            <v>2.000816152510887E-2</v>
          </cell>
        </row>
        <row r="31">
          <cell r="D31">
            <v>401.16279069767393</v>
          </cell>
        </row>
        <row r="32">
          <cell r="D32">
            <v>87.804797581395093</v>
          </cell>
        </row>
        <row r="33">
          <cell r="D33">
            <v>2397.9917420000079</v>
          </cell>
        </row>
        <row r="34">
          <cell r="D34">
            <v>2886.9593302790768</v>
          </cell>
        </row>
        <row r="37">
          <cell r="D37">
            <v>1.0464355788096794E-2</v>
          </cell>
        </row>
        <row r="38">
          <cell r="D38">
            <v>0</v>
          </cell>
        </row>
        <row r="39">
          <cell r="D39">
            <v>223.61248309523819</v>
          </cell>
        </row>
        <row r="40">
          <cell r="D40">
            <v>2397.9917420000079</v>
          </cell>
        </row>
        <row r="41">
          <cell r="D41">
            <v>2621.604225095246</v>
          </cell>
        </row>
      </sheetData>
      <sheetData sheetId="5"/>
      <sheetData sheetId="6"/>
      <sheetData sheetId="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Inputs"/>
      <sheetName val="Risk Score"/>
      <sheetName val="RSE Calcs"/>
      <sheetName val="EMPL Supplementary Analysis"/>
      <sheetName val="2015-2019 Drug&amp;Alcohol Results"/>
      <sheetName val="Job Observation QA Data"/>
    </sheetNames>
    <sheetDataSet>
      <sheetData sheetId="0">
        <row r="6">
          <cell r="C6">
            <v>0</v>
          </cell>
        </row>
      </sheetData>
      <sheetData sheetId="1"/>
      <sheetData sheetId="2"/>
      <sheetData sheetId="3"/>
      <sheetData sheetId="4"/>
      <sheetData sheetId="5"/>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Inputs"/>
      <sheetName val="Risk Score"/>
      <sheetName val="RSE Calcs"/>
      <sheetName val="CP"/>
      <sheetName val="(DREAMS Multiplier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cription"/>
      <sheetName val="Master Inputs"/>
      <sheetName val="RSE Summary"/>
    </sheetNames>
    <sheetDataSet>
      <sheetData sheetId="0" refreshError="1"/>
      <sheetData sheetId="1" refreshError="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Cover"/>
      <sheetName val="Description"/>
      <sheetName val="Master Inputs"/>
      <sheetName val="RSE Summary"/>
      <sheetName val="1. Discount Sensitivity"/>
      <sheetName val="2A. LoRE &amp; CoRE Decomposed"/>
      <sheetName val="3. Portfolio Sensitivity"/>
      <sheetName val=" Updates"/>
      <sheetName val="Supplemental 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cription"/>
      <sheetName val="Master Inputs"/>
      <sheetName val="Risk Scoring Workpaper"/>
      <sheetName val="RSE Summary"/>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Cover"/>
      <sheetName val="Description"/>
      <sheetName val="Master Inputs"/>
      <sheetName val="Risk Scoring Workpaper"/>
      <sheetName val="RSE Summary"/>
      <sheetName val="1. Discount Sensitivity"/>
      <sheetName val="2A. LoRE &amp; CoRE Decomposed"/>
      <sheetName val="3. Portfolio Sensitivity"/>
      <sheetName val="4. Component Pre-Mit Risk Score"/>
      <sheetName val="5. Updates"/>
      <sheetName val="Supplemental Char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tigated Risk Scores"/>
      <sheetName val="Cover"/>
      <sheetName val="Description"/>
      <sheetName val="Master Inputs"/>
      <sheetName val="Risk Scoring Workpaper '21"/>
      <sheetName val="RSE Summary '21"/>
      <sheetName val="RSE Workpaper '21"/>
      <sheetName val="SCG HP Baseline"/>
      <sheetName val="PTY Baseline Costs"/>
      <sheetName val="Risk Scoring Workpaper '23"/>
      <sheetName val="Risk Scoring Workpaper '24"/>
      <sheetName val="RSE Workpaper '25-27"/>
      <sheetName val="RSE Summary '23"/>
      <sheetName val="RSE Workpaper '23"/>
      <sheetName val="CFF1 - SCG"/>
      <sheetName val="CFF2 - SCG "/>
      <sheetName val="CFF3 - SCG"/>
      <sheetName val="CFF4 - SCG  "/>
      <sheetName val="CFF5 - SCG "/>
      <sheetName val="CFF6 - SCG  "/>
      <sheetName val="CFF7 - SCG "/>
    </sheetNames>
    <sheetDataSet>
      <sheetData sheetId="0"/>
      <sheetData sheetId="1"/>
      <sheetData sheetId="2"/>
      <sheetData sheetId="3">
        <row r="25">
          <cell r="D25">
            <v>2.1399999999999999E-2</v>
          </cell>
          <cell r="E25">
            <v>2.3599999999999999E-2</v>
          </cell>
          <cell r="F25">
            <v>2.4500000000000001E-2</v>
          </cell>
        </row>
        <row r="26">
          <cell r="D26">
            <v>-8.8999999999999999E-3</v>
          </cell>
          <cell r="E26">
            <v>1.7100000000000001E-2</v>
          </cell>
          <cell r="F26">
            <v>2.24E-2</v>
          </cell>
        </row>
      </sheetData>
      <sheetData sheetId="4">
        <row r="56">
          <cell r="D56">
            <v>253.04077806653157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igation Dataset"/>
      <sheetName val="CoRE Elements By Mitigation ID"/>
      <sheetName val="Risk Funding Sensitivity"/>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scription"/>
      <sheetName val="Master Inputs"/>
      <sheetName val="Risk Scoring Workpaper '21"/>
      <sheetName val="RSE Summary '21"/>
      <sheetName val="RSE Workpaper '21"/>
      <sheetName val="Baseline refresh"/>
      <sheetName val="Risk Scoring Workpaper '23"/>
      <sheetName val="RSE Summary '23"/>
      <sheetName val="RSE Workpaper '23"/>
      <sheetName val="CFF1 - SDGE "/>
      <sheetName val="CFF4 - SDGE"/>
      <sheetName val="CFF5 - SDGE"/>
      <sheetName val="CFF6 - SDGE "/>
      <sheetName val="CFF7 - SDGE"/>
      <sheetName val="CFF8 - SDGE"/>
      <sheetName val="RSE Workpaper"/>
      <sheetName val="CFF6 - SDGE"/>
      <sheetName val="Prelim GRC 2022 RSE Workpaper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persons/person.xml><?xml version="1.0" encoding="utf-8"?>
<personList xmlns="http://schemas.microsoft.com/office/spreadsheetml/2018/threadedcomments" xmlns:x="http://schemas.openxmlformats.org/spreadsheetml/2006/main">
  <person displayName="Semmer, Gillian M" id="{9EC8C377-35E2-4990-B6D9-2DD220F908E8}" userId="GSemmer@sdge.com" providerId="PeoplePicker"/>
  <person displayName="Zhou, Summer (Contractor)" id="{B0F476FC-A04E-4837-BD3A-64C9B764D79E}" userId="SZhou@SEUContractor.com" providerId="PeoplePicker"/>
  <person displayName="Veldore, Vidyunmala (Contractor)" id="{6A7DB45C-C583-4892-98DF-C80F7E1AF451}" userId="VVeldore@sdgecontractor.com" providerId="PeoplePicker"/>
  <person displayName="Galloway, Kevin R" id="{BA13295D-2C2A-42B0-A12B-9DBDFEC7EF8A}" userId="KGalloway@semprautilities.com" providerId="PeoplePicker"/>
  <person displayName="Veldore, Vidyunmala (Contractor)" id="{5CDD1B02-E0FC-4CA4-84F2-2835CF2BC520}" userId="Veldore, Vidyunmala (Contractor)" providerId="None"/>
  <person displayName="Semmer, Gillian M" id="{58A87794-1043-481D-B83B-29EDD8A85EDE}" userId="S::gsemmer@sdge.com::2c81a64a-f827-4dd2-bfe3-3c18f37bb6c8" providerId="AD"/>
  <person displayName="Zhou, Summer (Contractor)" id="{6083972B-8071-45AF-BF9D-EC7A3E016BDA}" userId="S::szhou@seucontractor.com::2a67afd6-1b6e-48e9-9c01-f9ef4378608a" providerId="AD"/>
  <person displayName="Bolles, Anderson" id="{AC275BF7-9514-4A5F-95EA-067BAF2D6A3B}" userId="S::ABolles@semprautilities.com::4010f536-7d9c-4ac9-9fae-cd6dcef513e5" providerId="AD"/>
  <person displayName="Kaminsky, Jennifer L" id="{2DEDC052-CACD-4E0A-9233-8D7C9C2CC970}" userId="S::jkaminsky@semprautilities.com::8c1d334c-d73d-4423-a656-24aef1a08c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0-12-10T19:23:59.87" personId="{AC275BF7-9514-4A5F-95EA-067BAF2D6A3B}" id="{10988880-C10E-4FD2-AD58-10D9101FC49D}">
    <text>Updated distribution ignition rates 12/15/2020. Updated transmission ignition rates on 1/6/21.</text>
  </threadedComment>
  <threadedComment ref="B3" dT="2021-10-29T20:42:14.09" personId="{AC275BF7-9514-4A5F-95EA-067BAF2D6A3B}" id="{C329719B-90E4-4937-9E66-A003B4E40C28}">
    <text>if time to repair has changed to 10 days, recalculated the fail assumption for emergency (=3x priority fail assumption)</text>
  </threadedComment>
  <threadedComment ref="A5" dT="2021-01-05T01:33:08.60" personId="{AC275BF7-9514-4A5F-95EA-067BAF2D6A3B}" id="{227CBDD3-3104-4F5B-829C-923960C0F9A8}">
    <text>from CMP study</text>
  </threadedComment>
  <threadedComment ref="G8" dT="2020-12-14T17:42:52.17" personId="{AC275BF7-9514-4A5F-95EA-067BAF2D6A3B}" id="{F6B3CE3B-6C0A-493B-99A9-C67E076DCD2B}">
    <text>No historical ignitions</text>
  </threadedComment>
  <threadedComment ref="A16" dT="2020-12-10T16:47:14.75" personId="{AC275BF7-9514-4A5F-95EA-067BAF2D6A3B}" id="{58988B57-5C47-432E-9C86-6135781B539B}">
    <text>established programs, cycle is not included in calculations (marked blue)</text>
  </threadedComment>
  <threadedComment ref="H16" dT="2020-12-16T17:25:22.49" personId="{AC275BF7-9514-4A5F-95EA-067BAF2D6A3B}" id="{70EB56A6-ED30-465A-BE32-6BCAF87B6845}">
    <text>cycle is not applicable to calculations based on the assumption that findings found through IR can only be found through IR and are invisible to the naked eye.</text>
  </threadedComment>
  <threadedComment ref="A25" dT="2020-12-17T18:47:22.49" personId="{AC275BF7-9514-4A5F-95EA-067BAF2D6A3B}" id="{BECF3913-70ED-4022-B7AB-A038EB429AE6}">
    <text>Per avg ignition counts at the top</text>
  </threadedComment>
  <threadedComment ref="A26" dT="2020-12-16T18:28:33.81" personId="{AC275BF7-9514-4A5F-95EA-067BAF2D6A3B}" id="{9080382D-11A4-43D2-ADCF-64436108F1EB}">
    <text>findings by priority per inspection count</text>
  </threadedComment>
  <threadedComment ref="A58" dT="2022-01-26T20:59:09.10" personId="{2DEDC052-CACD-4E0A-9233-8D7C9C2CC970}" id="{5E2F3FBB-D01D-41C8-8E60-23339CEFF369}">
    <text>@Galloway, Kevin R  The DIAR program is currently scheduled to stop flights at the end of 2022 and drone flights will start in 2023 asw part of the CMP program.  How would you like to handle this with TCM taking over flights in 2023?</text>
    <mentions>
      <mention mentionpersonId="{BA13295D-2C2A-42B0-A12B-9DBDFEC7EF8A}" mentionId="{4006A87C-BC7A-4C1F-B5D6-B079D8DDE93A}" startIndex="0" length="18"/>
    </mentions>
  </threadedComment>
  <threadedComment ref="I125" dT="2020-12-10T22:00:30.16" personId="{AC275BF7-9514-4A5F-95EA-067BAF2D6A3B}" id="{3258D060-153C-496B-8C76-8963C4444BAA}">
    <text>data as of 6/15, need update?</text>
  </threadedComment>
  <threadedComment ref="I125" dT="2022-01-07T15:33:50.99" personId="{2DEDC052-CACD-4E0A-9233-8D7C9C2CC970}" id="{1EBAAF05-FB5E-4385-9170-015454510C20}" parentId="{3258D060-153C-496B-8C76-8963C4444BAA}">
    <text>Updated for 2020 only</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2-01-03T23:20:50.52" personId="{58A87794-1043-481D-B83B-29EDD8A85EDE}" id="{7523FBAB-C39C-4CFA-AFA1-572B4FFD837F}">
    <text xml:space="preserve">@Veldore, Vidyunmala (Contractor)  can you clarify what this column is? totals? same with columne E12 just fuses number... </text>
    <mentions>
      <mention mentionpersonId="{6A7DB45C-C583-4892-98DF-C80F7E1AF451}" mentionId="{C5FC871A-CAAA-4096-B12C-CD60BD7AC330}" startIndex="0" length="33"/>
    </mentions>
  </threadedComment>
  <threadedComment ref="B12" dT="2022-01-04T10:35:54.99" personId="{5CDD1B02-E0FC-4CA4-84F2-2835CF2BC520}" id="{95A710B2-C0B3-4C48-ADFE-E03E0FCB6D8A}" parentId="{7523FBAB-C39C-4CFA-AFA1-572B4FFD837F}">
    <text>5yr average Operation of Expulsion Fuses for Tier</text>
  </threadedComment>
  <threadedComment ref="I18" dT="2022-01-21T22:58:55.14" personId="{58A87794-1043-481D-B83B-29EDD8A85EDE}" id="{A7F08DF1-25F8-4B53-85E1-0915D67A6D69}" done="1">
    <text>@Zhou, Summer (Contractor)  looking at the latest dashboard i see number installed in 2021 of 3509 can you please double check your source and let alex and paul know (they were on meeting we discussed this)</text>
    <mentions>
      <mention mentionpersonId="{B0F476FC-A04E-4837-BD3A-64C9B764D79E}" mentionId="{E3C52668-5EDA-4BBE-B7D9-3B2BF41D467C}" startIndex="0" length="26"/>
    </mentions>
  </threadedComment>
  <threadedComment ref="I18" dT="2022-01-21T23:07:10.76" personId="{6083972B-8071-45AF-BF9D-EC7A3E016BDA}" id="{FF6DEC56-0C5F-451D-BF36-D3CA902D5F22}" parentId="{A7F08DF1-25F8-4B53-85E1-0915D67A6D69}">
    <text>Gillian, 3509 is installed under Fuse budget, and there are 501 fuses installed under other program. Would you like me to exclude installed by others?</text>
  </threadedComment>
  <threadedComment ref="I18" dT="2022-01-21T23:12:20.74" personId="{58A87794-1043-481D-B83B-29EDD8A85EDE}" id="{3E0E0B9A-E8F0-4FB2-B7FB-193915B34190}" parentId="{A7F08DF1-25F8-4B53-85E1-0915D67A6D69}">
    <text xml:space="preserve">thanks for that update. </text>
  </threadedComment>
  <threadedComment ref="I18" dT="2022-01-21T23:15:06.62" personId="{58A87794-1043-481D-B83B-29EDD8A85EDE}" id="{A9A3F753-C3E5-46BD-8EA7-458D11AC1A39}" parentId="{A7F08DF1-25F8-4B53-85E1-0915D67A6D69}">
    <text>Per confirmation with paul and alex, we want only the HFTD for this purpose because we are using cost only from HFTD budget. can you therefore go back and update the breakdown by Tier @Zhou, Summer (Contractor) . sorry for the confusion.</text>
    <mentions>
      <mention mentionpersonId="{B0F476FC-A04E-4837-BD3A-64C9B764D79E}" mentionId="{7C1A99DE-34AD-4372-A6BB-E195C366ACC9}" startIndex="184" length="26"/>
    </mentions>
  </threadedComment>
  <threadedComment ref="I18" dT="2022-01-22T00:24:20.27" personId="{6083972B-8071-45AF-BF9D-EC7A3E016BDA}" id="{BA077080-9A90-4737-B8BD-FAD828287F10}" parentId="{A7F08DF1-25F8-4B53-85E1-0915D67A6D69}">
    <text xml:space="preserve">@Semmer, Gillian M updated and excluded completed by others
</text>
    <mentions>
      <mention mentionpersonId="{9EC8C377-35E2-4990-B6D9-2DD220F908E8}" mentionId="{D1D9FEE1-1DAA-4050-B85A-C4C24815C97E}" startIndex="0" length="18"/>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0144F-6AA6-4C5E-A68C-AF42BC3DF478}">
  <dimension ref="D5:H17"/>
  <sheetViews>
    <sheetView view="pageBreakPreview" zoomScale="80" zoomScaleNormal="100" zoomScaleSheetLayoutView="80" workbookViewId="0">
      <selection activeCell="V20" sqref="V20"/>
    </sheetView>
  </sheetViews>
  <sheetFormatPr baseColWidth="10" defaultColWidth="8.83203125" defaultRowHeight="15" x14ac:dyDescent="0.2"/>
  <cols>
    <col min="1" max="16384" width="8.83203125" style="636"/>
  </cols>
  <sheetData>
    <row r="5" spans="4:8" ht="35" x14ac:dyDescent="0.2">
      <c r="F5" s="637"/>
    </row>
    <row r="6" spans="4:8" ht="35" x14ac:dyDescent="0.2">
      <c r="F6" s="637"/>
    </row>
    <row r="7" spans="4:8" ht="16" x14ac:dyDescent="0.2">
      <c r="F7" s="638"/>
    </row>
    <row r="8" spans="4:8" ht="35" x14ac:dyDescent="0.2">
      <c r="F8" s="637"/>
    </row>
    <row r="9" spans="4:8" ht="35" x14ac:dyDescent="0.2">
      <c r="F9" s="637"/>
    </row>
    <row r="11" spans="4:8" ht="35" x14ac:dyDescent="0.2">
      <c r="F11" s="637" t="s">
        <v>0</v>
      </c>
    </row>
    <row r="12" spans="4:8" ht="35" x14ac:dyDescent="0.2">
      <c r="F12" s="637"/>
    </row>
    <row r="13" spans="4:8" ht="35" x14ac:dyDescent="0.2">
      <c r="F13" s="637" t="s">
        <v>1</v>
      </c>
    </row>
    <row r="14" spans="4:8" ht="35" x14ac:dyDescent="0.2">
      <c r="F14" s="637" t="s">
        <v>2</v>
      </c>
    </row>
    <row r="15" spans="4:8" ht="46.25" customHeight="1" x14ac:dyDescent="0.2">
      <c r="D15" s="712" t="s">
        <v>3</v>
      </c>
      <c r="E15" s="712"/>
      <c r="F15" s="712"/>
      <c r="G15" s="712"/>
      <c r="H15" s="712"/>
    </row>
    <row r="16" spans="4:8" ht="35" x14ac:dyDescent="0.2">
      <c r="F16" s="637"/>
    </row>
    <row r="17" spans="4:8" ht="37.25" customHeight="1" x14ac:dyDescent="0.2">
      <c r="D17" s="713" t="s">
        <v>4</v>
      </c>
      <c r="E17" s="713"/>
      <c r="F17" s="713"/>
      <c r="G17" s="713"/>
      <c r="H17" s="713"/>
    </row>
  </sheetData>
  <mergeCells count="2">
    <mergeCell ref="D15:H15"/>
    <mergeCell ref="D17:H17"/>
  </mergeCells>
  <pageMargins left="0.7" right="0.7" top="0.75" bottom="0.75" header="0.3" footer="0.3"/>
  <pageSetup scale="92"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B232-0D68-423F-89CD-D57F2739EBB1}">
  <sheetPr>
    <tabColor rgb="FF7030A0"/>
  </sheetPr>
  <dimension ref="A1:M44"/>
  <sheetViews>
    <sheetView zoomScale="59" workbookViewId="0"/>
  </sheetViews>
  <sheetFormatPr baseColWidth="10" defaultColWidth="8.83203125" defaultRowHeight="15" x14ac:dyDescent="0.2"/>
  <cols>
    <col min="1" max="1" width="39.33203125" bestFit="1" customWidth="1"/>
    <col min="2" max="2" width="29.5" bestFit="1" customWidth="1"/>
    <col min="3" max="3" width="19.33203125" customWidth="1"/>
    <col min="4" max="4" width="18.5" customWidth="1"/>
    <col min="5" max="5" width="19.6640625" customWidth="1"/>
    <col min="6" max="6" width="22.5" customWidth="1"/>
    <col min="7" max="7" width="19.5" customWidth="1"/>
    <col min="8" max="9" width="15.6640625" customWidth="1"/>
    <col min="10" max="10" width="18.5" customWidth="1"/>
    <col min="11" max="11" width="31.5" customWidth="1"/>
    <col min="12" max="12" width="58.5" customWidth="1"/>
    <col min="13" max="13" width="67.5" bestFit="1" customWidth="1"/>
  </cols>
  <sheetData>
    <row r="1" spans="1:12" ht="80" x14ac:dyDescent="0.2">
      <c r="A1" s="42" t="s">
        <v>421</v>
      </c>
      <c r="B1" s="42" t="s">
        <v>422</v>
      </c>
      <c r="C1" s="42" t="s">
        <v>423</v>
      </c>
      <c r="D1" s="42"/>
      <c r="G1" s="336" t="s">
        <v>424</v>
      </c>
      <c r="H1" s="336" t="s">
        <v>425</v>
      </c>
      <c r="I1" s="336" t="s">
        <v>426</v>
      </c>
      <c r="J1" s="336" t="s">
        <v>427</v>
      </c>
      <c r="K1" s="291" t="s">
        <v>428</v>
      </c>
      <c r="L1" s="291" t="s">
        <v>429</v>
      </c>
    </row>
    <row r="2" spans="1:12" ht="16" x14ac:dyDescent="0.2">
      <c r="A2" t="s">
        <v>430</v>
      </c>
      <c r="B2" t="s">
        <v>431</v>
      </c>
      <c r="C2" t="s">
        <v>432</v>
      </c>
      <c r="D2" t="s">
        <v>433</v>
      </c>
      <c r="G2" s="335" t="s">
        <v>360</v>
      </c>
      <c r="H2" s="344" t="s">
        <v>360</v>
      </c>
      <c r="I2" s="346" t="s">
        <v>434</v>
      </c>
      <c r="J2" s="335" t="s">
        <v>360</v>
      </c>
      <c r="K2" s="331" t="s">
        <v>435</v>
      </c>
      <c r="L2" t="s">
        <v>436</v>
      </c>
    </row>
    <row r="3" spans="1:12" ht="16" x14ac:dyDescent="0.2">
      <c r="A3" t="s">
        <v>437</v>
      </c>
      <c r="B3" t="s">
        <v>431</v>
      </c>
      <c r="C3" t="s">
        <v>438</v>
      </c>
      <c r="D3" t="s">
        <v>439</v>
      </c>
      <c r="G3" s="335" t="s">
        <v>359</v>
      </c>
      <c r="H3" s="344" t="s">
        <v>360</v>
      </c>
      <c r="I3" s="346" t="s">
        <v>434</v>
      </c>
      <c r="J3" s="335" t="s">
        <v>360</v>
      </c>
      <c r="K3" s="331" t="s">
        <v>440</v>
      </c>
      <c r="L3" t="s">
        <v>441</v>
      </c>
    </row>
    <row r="4" spans="1:12" ht="16" x14ac:dyDescent="0.2">
      <c r="A4" t="s">
        <v>442</v>
      </c>
      <c r="B4" t="s">
        <v>431</v>
      </c>
      <c r="C4" t="s">
        <v>443</v>
      </c>
      <c r="G4" s="335" t="s">
        <v>359</v>
      </c>
      <c r="H4" s="335" t="s">
        <v>360</v>
      </c>
      <c r="I4" s="346" t="s">
        <v>434</v>
      </c>
      <c r="J4" s="335" t="s">
        <v>359</v>
      </c>
      <c r="K4" s="331" t="s">
        <v>444</v>
      </c>
      <c r="L4" s="485"/>
    </row>
    <row r="5" spans="1:12" ht="16" x14ac:dyDescent="0.2">
      <c r="A5" t="s">
        <v>445</v>
      </c>
      <c r="B5" t="s">
        <v>431</v>
      </c>
      <c r="C5" t="s">
        <v>446</v>
      </c>
      <c r="G5" s="335" t="s">
        <v>359</v>
      </c>
      <c r="H5" s="344" t="s">
        <v>360</v>
      </c>
      <c r="I5" s="335" t="s">
        <v>360</v>
      </c>
      <c r="J5" s="335" t="s">
        <v>359</v>
      </c>
      <c r="K5" s="331" t="s">
        <v>447</v>
      </c>
    </row>
    <row r="6" spans="1:12" ht="16" x14ac:dyDescent="0.2">
      <c r="A6" t="s">
        <v>448</v>
      </c>
      <c r="B6" t="s">
        <v>431</v>
      </c>
      <c r="C6" t="s">
        <v>443</v>
      </c>
      <c r="G6" s="335" t="s">
        <v>359</v>
      </c>
      <c r="H6" s="344" t="s">
        <v>360</v>
      </c>
      <c r="I6" s="346" t="s">
        <v>434</v>
      </c>
      <c r="J6" s="335" t="s">
        <v>360</v>
      </c>
      <c r="K6" s="331" t="s">
        <v>449</v>
      </c>
    </row>
    <row r="7" spans="1:12" ht="16" x14ac:dyDescent="0.2">
      <c r="A7" t="s">
        <v>450</v>
      </c>
      <c r="B7" t="s">
        <v>451</v>
      </c>
      <c r="G7" s="335" t="s">
        <v>359</v>
      </c>
      <c r="H7" s="344" t="s">
        <v>360</v>
      </c>
      <c r="I7" s="335" t="s">
        <v>360</v>
      </c>
      <c r="J7" s="346" t="s">
        <v>434</v>
      </c>
      <c r="K7" s="331" t="s">
        <v>452</v>
      </c>
      <c r="L7" t="s">
        <v>453</v>
      </c>
    </row>
    <row r="8" spans="1:12" ht="16" x14ac:dyDescent="0.2">
      <c r="A8" t="s">
        <v>454</v>
      </c>
      <c r="B8" t="s">
        <v>455</v>
      </c>
      <c r="C8" t="s">
        <v>456</v>
      </c>
      <c r="D8" t="s">
        <v>457</v>
      </c>
      <c r="G8" s="335" t="s">
        <v>359</v>
      </c>
      <c r="H8" s="344" t="s">
        <v>360</v>
      </c>
      <c r="I8" s="346" t="s">
        <v>434</v>
      </c>
      <c r="J8" s="335" t="s">
        <v>360</v>
      </c>
      <c r="K8" s="331" t="s">
        <v>458</v>
      </c>
    </row>
    <row r="9" spans="1:12" ht="16" x14ac:dyDescent="0.2">
      <c r="A9" t="s">
        <v>459</v>
      </c>
      <c r="B9" t="s">
        <v>460</v>
      </c>
      <c r="D9" t="s">
        <v>461</v>
      </c>
      <c r="G9" s="335" t="s">
        <v>359</v>
      </c>
      <c r="H9" s="335" t="s">
        <v>359</v>
      </c>
      <c r="I9" s="335" t="s">
        <v>360</v>
      </c>
      <c r="J9" s="346" t="s">
        <v>434</v>
      </c>
      <c r="K9" s="331" t="s">
        <v>462</v>
      </c>
    </row>
    <row r="10" spans="1:12" ht="16" x14ac:dyDescent="0.2">
      <c r="A10" t="s">
        <v>463</v>
      </c>
      <c r="B10" t="s">
        <v>464</v>
      </c>
      <c r="C10" t="s">
        <v>465</v>
      </c>
      <c r="D10" s="281" t="s">
        <v>466</v>
      </c>
      <c r="G10" s="335" t="s">
        <v>359</v>
      </c>
      <c r="H10" s="344" t="s">
        <v>360</v>
      </c>
      <c r="I10" s="346" t="s">
        <v>434</v>
      </c>
      <c r="J10" s="335" t="s">
        <v>360</v>
      </c>
      <c r="K10" s="331" t="s">
        <v>467</v>
      </c>
    </row>
    <row r="11" spans="1:12" ht="16" x14ac:dyDescent="0.2">
      <c r="A11" t="s">
        <v>468</v>
      </c>
      <c r="B11" t="s">
        <v>469</v>
      </c>
      <c r="C11" t="s">
        <v>470</v>
      </c>
      <c r="D11" t="s">
        <v>461</v>
      </c>
      <c r="G11" s="335" t="s">
        <v>360</v>
      </c>
      <c r="H11" s="346" t="s">
        <v>434</v>
      </c>
      <c r="I11" s="335" t="s">
        <v>360</v>
      </c>
      <c r="J11" s="346" t="s">
        <v>434</v>
      </c>
      <c r="K11" s="331" t="s">
        <v>471</v>
      </c>
    </row>
    <row r="12" spans="1:12" ht="16" x14ac:dyDescent="0.2">
      <c r="A12" t="s">
        <v>472</v>
      </c>
      <c r="B12" t="s">
        <v>469</v>
      </c>
      <c r="C12" t="s">
        <v>470</v>
      </c>
      <c r="D12" t="s">
        <v>461</v>
      </c>
      <c r="G12" s="335" t="s">
        <v>360</v>
      </c>
      <c r="H12" s="346" t="s">
        <v>434</v>
      </c>
      <c r="I12" s="335" t="s">
        <v>360</v>
      </c>
      <c r="J12" s="346" t="s">
        <v>434</v>
      </c>
      <c r="K12" s="331" t="s">
        <v>473</v>
      </c>
    </row>
    <row r="13" spans="1:12" ht="16" x14ac:dyDescent="0.2">
      <c r="A13" t="s">
        <v>474</v>
      </c>
      <c r="B13" t="s">
        <v>469</v>
      </c>
      <c r="C13" t="s">
        <v>470</v>
      </c>
      <c r="D13" t="s">
        <v>461</v>
      </c>
      <c r="G13" s="335" t="s">
        <v>359</v>
      </c>
      <c r="H13" s="70" t="s">
        <v>434</v>
      </c>
      <c r="I13" s="335" t="s">
        <v>360</v>
      </c>
      <c r="J13" s="346" t="s">
        <v>434</v>
      </c>
      <c r="K13" s="331" t="s">
        <v>474</v>
      </c>
      <c r="L13" t="s">
        <v>475</v>
      </c>
    </row>
    <row r="14" spans="1:12" ht="16" x14ac:dyDescent="0.2">
      <c r="A14" t="s">
        <v>476</v>
      </c>
      <c r="B14" t="s">
        <v>477</v>
      </c>
      <c r="C14" t="s">
        <v>478</v>
      </c>
      <c r="D14" t="s">
        <v>479</v>
      </c>
      <c r="G14" s="335" t="s">
        <v>359</v>
      </c>
      <c r="H14" s="70" t="s">
        <v>434</v>
      </c>
      <c r="I14" s="335" t="s">
        <v>360</v>
      </c>
      <c r="J14" s="335" t="s">
        <v>360</v>
      </c>
      <c r="K14" s="331" t="s">
        <v>480</v>
      </c>
    </row>
    <row r="15" spans="1:12" ht="16" x14ac:dyDescent="0.2">
      <c r="A15" t="s">
        <v>481</v>
      </c>
      <c r="B15" t="s">
        <v>446</v>
      </c>
      <c r="G15" s="335" t="s">
        <v>359</v>
      </c>
      <c r="H15" s="70" t="s">
        <v>434</v>
      </c>
      <c r="I15" s="335" t="s">
        <v>360</v>
      </c>
      <c r="J15" s="335" t="s">
        <v>360</v>
      </c>
      <c r="K15" s="331" t="s">
        <v>482</v>
      </c>
    </row>
    <row r="16" spans="1:12" ht="16" x14ac:dyDescent="0.2">
      <c r="A16" t="s">
        <v>483</v>
      </c>
      <c r="B16" t="s">
        <v>446</v>
      </c>
      <c r="G16" s="335" t="s">
        <v>359</v>
      </c>
      <c r="H16" s="70" t="s">
        <v>434</v>
      </c>
      <c r="I16" s="335" t="s">
        <v>360</v>
      </c>
      <c r="J16" s="335" t="s">
        <v>360</v>
      </c>
      <c r="K16" s="331" t="s">
        <v>484</v>
      </c>
    </row>
    <row r="17" spans="1:13" ht="16" x14ac:dyDescent="0.2">
      <c r="A17" t="s">
        <v>485</v>
      </c>
      <c r="B17" t="s">
        <v>446</v>
      </c>
      <c r="G17" s="335" t="s">
        <v>359</v>
      </c>
      <c r="H17" s="70" t="s">
        <v>434</v>
      </c>
      <c r="I17" s="335" t="s">
        <v>360</v>
      </c>
      <c r="J17" s="335" t="s">
        <v>360</v>
      </c>
      <c r="K17" s="331" t="s">
        <v>486</v>
      </c>
    </row>
    <row r="18" spans="1:13" ht="16" x14ac:dyDescent="0.2">
      <c r="A18" t="s">
        <v>487</v>
      </c>
      <c r="B18" t="s">
        <v>446</v>
      </c>
      <c r="G18" s="335" t="s">
        <v>359</v>
      </c>
      <c r="H18" s="70" t="s">
        <v>434</v>
      </c>
      <c r="I18" s="335" t="s">
        <v>360</v>
      </c>
      <c r="J18" s="335" t="s">
        <v>360</v>
      </c>
      <c r="K18" s="331" t="s">
        <v>488</v>
      </c>
    </row>
    <row r="19" spans="1:13" ht="16" x14ac:dyDescent="0.2">
      <c r="A19" t="s">
        <v>281</v>
      </c>
      <c r="B19" t="s">
        <v>446</v>
      </c>
      <c r="G19" s="335" t="s">
        <v>359</v>
      </c>
      <c r="H19" s="70" t="s">
        <v>434</v>
      </c>
      <c r="I19" s="335" t="s">
        <v>360</v>
      </c>
      <c r="J19" s="346" t="s">
        <v>434</v>
      </c>
      <c r="K19" s="331" t="s">
        <v>489</v>
      </c>
    </row>
    <row r="20" spans="1:13" ht="16" x14ac:dyDescent="0.2">
      <c r="A20" t="s">
        <v>490</v>
      </c>
      <c r="B20" t="s">
        <v>491</v>
      </c>
      <c r="C20" t="s">
        <v>492</v>
      </c>
      <c r="G20" s="335" t="s">
        <v>360</v>
      </c>
      <c r="H20" s="70" t="s">
        <v>434</v>
      </c>
      <c r="I20" s="335" t="s">
        <v>360</v>
      </c>
      <c r="J20" s="346" t="s">
        <v>434</v>
      </c>
      <c r="K20" s="331" t="s">
        <v>493</v>
      </c>
      <c r="L20" t="s">
        <v>494</v>
      </c>
    </row>
    <row r="21" spans="1:13" ht="16" x14ac:dyDescent="0.2">
      <c r="A21" t="s">
        <v>85</v>
      </c>
      <c r="B21" t="s">
        <v>495</v>
      </c>
      <c r="C21" t="s">
        <v>496</v>
      </c>
      <c r="G21" s="335" t="s">
        <v>359</v>
      </c>
      <c r="H21" s="70" t="s">
        <v>434</v>
      </c>
      <c r="I21" s="335" t="s">
        <v>360</v>
      </c>
      <c r="J21" s="346" t="s">
        <v>434</v>
      </c>
      <c r="K21" s="331" t="s">
        <v>497</v>
      </c>
    </row>
    <row r="22" spans="1:13" ht="16" x14ac:dyDescent="0.2">
      <c r="A22" t="s">
        <v>87</v>
      </c>
      <c r="B22" t="s">
        <v>495</v>
      </c>
      <c r="C22" t="s">
        <v>496</v>
      </c>
      <c r="G22" s="335" t="s">
        <v>359</v>
      </c>
      <c r="H22" s="70" t="s">
        <v>434</v>
      </c>
      <c r="I22" s="335" t="s">
        <v>360</v>
      </c>
      <c r="J22" s="346" t="s">
        <v>434</v>
      </c>
      <c r="K22" s="331" t="s">
        <v>498</v>
      </c>
    </row>
    <row r="23" spans="1:13" ht="16" x14ac:dyDescent="0.2">
      <c r="A23" t="s">
        <v>499</v>
      </c>
      <c r="B23" t="s">
        <v>500</v>
      </c>
      <c r="G23" s="335" t="s">
        <v>359</v>
      </c>
      <c r="H23" s="70" t="s">
        <v>434</v>
      </c>
      <c r="I23" s="335" t="s">
        <v>360</v>
      </c>
      <c r="J23" s="335" t="s">
        <v>360</v>
      </c>
      <c r="K23" s="331" t="s">
        <v>501</v>
      </c>
    </row>
    <row r="24" spans="1:13" ht="16" x14ac:dyDescent="0.2">
      <c r="A24" t="s">
        <v>89</v>
      </c>
      <c r="B24" t="s">
        <v>431</v>
      </c>
      <c r="C24" t="s">
        <v>502</v>
      </c>
      <c r="G24" s="335" t="s">
        <v>359</v>
      </c>
      <c r="H24" s="70" t="s">
        <v>434</v>
      </c>
      <c r="I24" s="335" t="s">
        <v>360</v>
      </c>
      <c r="J24" s="335" t="s">
        <v>360</v>
      </c>
      <c r="K24" s="331" t="s">
        <v>89</v>
      </c>
    </row>
    <row r="25" spans="1:13" ht="16" x14ac:dyDescent="0.2">
      <c r="A25" s="282" t="s">
        <v>503</v>
      </c>
      <c r="B25" s="282" t="s">
        <v>504</v>
      </c>
      <c r="C25" s="282" t="s">
        <v>505</v>
      </c>
      <c r="D25" s="282" t="s">
        <v>506</v>
      </c>
      <c r="G25" s="335" t="s">
        <v>360</v>
      </c>
      <c r="H25" s="335" t="s">
        <v>360</v>
      </c>
      <c r="I25" s="335" t="s">
        <v>360</v>
      </c>
      <c r="J25" s="335" t="s">
        <v>360</v>
      </c>
      <c r="K25" s="331" t="s">
        <v>8</v>
      </c>
      <c r="L25" t="s">
        <v>507</v>
      </c>
    </row>
    <row r="26" spans="1:13" ht="16" x14ac:dyDescent="0.2">
      <c r="A26" t="s">
        <v>508</v>
      </c>
      <c r="B26" t="s">
        <v>509</v>
      </c>
      <c r="C26" t="s">
        <v>510</v>
      </c>
      <c r="G26" s="335" t="s">
        <v>360</v>
      </c>
      <c r="H26" s="344" t="s">
        <v>360</v>
      </c>
      <c r="I26" s="335" t="s">
        <v>360</v>
      </c>
      <c r="J26" s="335" t="s">
        <v>360</v>
      </c>
      <c r="K26" s="331" t="s">
        <v>7</v>
      </c>
      <c r="L26" t="s">
        <v>507</v>
      </c>
    </row>
    <row r="27" spans="1:13" ht="16" x14ac:dyDescent="0.2">
      <c r="A27" t="s">
        <v>511</v>
      </c>
      <c r="B27" t="s">
        <v>509</v>
      </c>
      <c r="C27" t="s">
        <v>510</v>
      </c>
      <c r="G27" s="335" t="s">
        <v>360</v>
      </c>
      <c r="H27" s="344" t="s">
        <v>360</v>
      </c>
      <c r="I27" s="335" t="s">
        <v>360</v>
      </c>
      <c r="J27" s="335" t="s">
        <v>360</v>
      </c>
      <c r="K27" s="331" t="s">
        <v>512</v>
      </c>
      <c r="L27" t="s">
        <v>507</v>
      </c>
    </row>
    <row r="28" spans="1:13" ht="16" x14ac:dyDescent="0.2">
      <c r="A28" t="s">
        <v>513</v>
      </c>
      <c r="B28" t="s">
        <v>455</v>
      </c>
      <c r="C28" t="s">
        <v>457</v>
      </c>
      <c r="G28" s="335" t="s">
        <v>359</v>
      </c>
      <c r="H28" s="344" t="s">
        <v>360</v>
      </c>
      <c r="I28" s="346" t="s">
        <v>434</v>
      </c>
      <c r="J28" s="335" t="s">
        <v>360</v>
      </c>
      <c r="K28" s="331" t="s">
        <v>514</v>
      </c>
      <c r="M28" t="s">
        <v>515</v>
      </c>
    </row>
    <row r="29" spans="1:13" ht="16" x14ac:dyDescent="0.2">
      <c r="A29" t="s">
        <v>516</v>
      </c>
      <c r="B29" t="s">
        <v>455</v>
      </c>
      <c r="C29" t="s">
        <v>457</v>
      </c>
      <c r="G29" s="335" t="s">
        <v>359</v>
      </c>
      <c r="H29" s="344" t="s">
        <v>360</v>
      </c>
      <c r="I29" s="346" t="s">
        <v>434</v>
      </c>
      <c r="J29" s="335" t="s">
        <v>359</v>
      </c>
      <c r="K29" s="331" t="s">
        <v>517</v>
      </c>
      <c r="M29" t="s">
        <v>515</v>
      </c>
    </row>
    <row r="30" spans="1:13" ht="16" x14ac:dyDescent="0.2">
      <c r="A30" t="s">
        <v>518</v>
      </c>
      <c r="B30" t="s">
        <v>519</v>
      </c>
      <c r="C30" t="s">
        <v>520</v>
      </c>
      <c r="G30" s="335" t="s">
        <v>359</v>
      </c>
      <c r="H30" s="70" t="s">
        <v>434</v>
      </c>
      <c r="I30" s="335" t="s">
        <v>360</v>
      </c>
      <c r="J30" s="335" t="s">
        <v>360</v>
      </c>
      <c r="K30" s="331" t="s">
        <v>521</v>
      </c>
    </row>
    <row r="31" spans="1:13" ht="16" x14ac:dyDescent="0.2">
      <c r="A31" t="s">
        <v>522</v>
      </c>
      <c r="B31" t="s">
        <v>519</v>
      </c>
      <c r="C31" t="s">
        <v>520</v>
      </c>
      <c r="G31" s="335" t="s">
        <v>359</v>
      </c>
      <c r="H31" s="70" t="s">
        <v>434</v>
      </c>
      <c r="I31" s="335" t="s">
        <v>360</v>
      </c>
      <c r="J31" s="335" t="s">
        <v>360</v>
      </c>
      <c r="K31" s="331" t="s">
        <v>523</v>
      </c>
      <c r="M31" t="s">
        <v>524</v>
      </c>
    </row>
    <row r="32" spans="1:13" ht="16" x14ac:dyDescent="0.2">
      <c r="A32" t="s">
        <v>525</v>
      </c>
      <c r="B32" t="s">
        <v>519</v>
      </c>
      <c r="C32" t="s">
        <v>520</v>
      </c>
      <c r="G32" s="335" t="s">
        <v>359</v>
      </c>
      <c r="H32" s="70" t="s">
        <v>434</v>
      </c>
      <c r="I32" s="335" t="s">
        <v>360</v>
      </c>
      <c r="J32" s="335" t="s">
        <v>360</v>
      </c>
      <c r="K32" s="331" t="s">
        <v>526</v>
      </c>
    </row>
    <row r="33" spans="1:13" ht="16" x14ac:dyDescent="0.2">
      <c r="A33" t="s">
        <v>527</v>
      </c>
      <c r="B33" t="s">
        <v>519</v>
      </c>
      <c r="C33" t="s">
        <v>520</v>
      </c>
      <c r="G33" s="335" t="s">
        <v>359</v>
      </c>
      <c r="H33" s="70" t="s">
        <v>434</v>
      </c>
      <c r="I33" s="335" t="s">
        <v>360</v>
      </c>
      <c r="J33" s="335" t="s">
        <v>360</v>
      </c>
      <c r="K33" s="331" t="s">
        <v>528</v>
      </c>
    </row>
    <row r="34" spans="1:13" ht="16" x14ac:dyDescent="0.2">
      <c r="A34" s="282" t="s">
        <v>529</v>
      </c>
      <c r="B34" s="282" t="s">
        <v>477</v>
      </c>
      <c r="C34" s="282" t="s">
        <v>478</v>
      </c>
      <c r="D34" s="282"/>
      <c r="G34" s="335" t="s">
        <v>359</v>
      </c>
      <c r="H34" s="70" t="s">
        <v>434</v>
      </c>
      <c r="I34" s="335" t="s">
        <v>360</v>
      </c>
      <c r="J34" s="335" t="s">
        <v>360</v>
      </c>
      <c r="K34" s="331" t="s">
        <v>530</v>
      </c>
    </row>
    <row r="35" spans="1:13" ht="16" x14ac:dyDescent="0.2">
      <c r="A35" s="282" t="s">
        <v>531</v>
      </c>
      <c r="B35" s="282" t="s">
        <v>456</v>
      </c>
      <c r="C35" s="282" t="s">
        <v>532</v>
      </c>
      <c r="D35" s="282"/>
      <c r="G35" s="335" t="s">
        <v>359</v>
      </c>
      <c r="H35" s="335" t="s">
        <v>360</v>
      </c>
      <c r="I35" s="335" t="s">
        <v>360</v>
      </c>
      <c r="J35" s="335" t="s">
        <v>360</v>
      </c>
      <c r="K35" s="331" t="s">
        <v>533</v>
      </c>
      <c r="M35" t="s">
        <v>534</v>
      </c>
    </row>
    <row r="36" spans="1:13" ht="16" x14ac:dyDescent="0.2">
      <c r="A36" s="282" t="s">
        <v>535</v>
      </c>
      <c r="B36" s="282" t="s">
        <v>456</v>
      </c>
      <c r="C36" s="282" t="s">
        <v>532</v>
      </c>
      <c r="D36" s="282"/>
      <c r="G36" s="335" t="s">
        <v>359</v>
      </c>
      <c r="H36" s="335" t="s">
        <v>360</v>
      </c>
      <c r="I36" s="335" t="s">
        <v>360</v>
      </c>
      <c r="J36" s="346" t="s">
        <v>434</v>
      </c>
      <c r="K36" s="331" t="s">
        <v>536</v>
      </c>
    </row>
    <row r="37" spans="1:13" ht="16" x14ac:dyDescent="0.2">
      <c r="A37" s="282" t="s">
        <v>537</v>
      </c>
      <c r="B37" s="282" t="s">
        <v>456</v>
      </c>
      <c r="C37" s="282" t="s">
        <v>532</v>
      </c>
      <c r="D37" s="282"/>
      <c r="G37" s="335" t="s">
        <v>359</v>
      </c>
      <c r="H37" s="335" t="s">
        <v>360</v>
      </c>
      <c r="I37" s="335" t="s">
        <v>360</v>
      </c>
      <c r="J37" s="346" t="s">
        <v>434</v>
      </c>
      <c r="K37" s="331" t="s">
        <v>538</v>
      </c>
      <c r="L37" t="s">
        <v>539</v>
      </c>
    </row>
    <row r="38" spans="1:13" ht="16" x14ac:dyDescent="0.2">
      <c r="A38" s="347" t="s">
        <v>540</v>
      </c>
      <c r="B38" s="347" t="s">
        <v>541</v>
      </c>
      <c r="C38" s="347" t="s">
        <v>542</v>
      </c>
      <c r="D38" s="347"/>
      <c r="E38" s="347"/>
      <c r="F38" s="347" t="s">
        <v>543</v>
      </c>
      <c r="G38" s="347"/>
      <c r="H38" s="398"/>
      <c r="I38" s="398"/>
      <c r="J38" s="398" t="s">
        <v>360</v>
      </c>
      <c r="K38" s="331" t="s">
        <v>544</v>
      </c>
    </row>
    <row r="39" spans="1:13" ht="16" x14ac:dyDescent="0.2">
      <c r="A39" s="347" t="s">
        <v>545</v>
      </c>
      <c r="B39" s="347" t="s">
        <v>546</v>
      </c>
      <c r="C39" s="347"/>
      <c r="D39" s="347"/>
      <c r="E39" s="347"/>
      <c r="F39" s="347"/>
      <c r="G39" s="348" t="s">
        <v>359</v>
      </c>
      <c r="H39" s="349" t="s">
        <v>434</v>
      </c>
      <c r="I39" s="348" t="s">
        <v>360</v>
      </c>
      <c r="J39" s="348" t="s">
        <v>360</v>
      </c>
      <c r="K39" s="331" t="s">
        <v>547</v>
      </c>
    </row>
    <row r="40" spans="1:13" ht="16" x14ac:dyDescent="0.2">
      <c r="A40" s="347" t="s">
        <v>548</v>
      </c>
      <c r="B40" s="347" t="s">
        <v>549</v>
      </c>
      <c r="C40" s="347" t="s">
        <v>550</v>
      </c>
      <c r="D40" s="347"/>
      <c r="E40" s="347"/>
      <c r="F40" s="347"/>
      <c r="G40" s="348" t="s">
        <v>359</v>
      </c>
      <c r="H40" s="424" t="s">
        <v>360</v>
      </c>
      <c r="I40" s="348" t="s">
        <v>360</v>
      </c>
      <c r="J40" s="346" t="s">
        <v>434</v>
      </c>
      <c r="K40" s="331" t="s">
        <v>551</v>
      </c>
    </row>
    <row r="41" spans="1:13" ht="16" x14ac:dyDescent="0.2">
      <c r="A41" s="347" t="s">
        <v>552</v>
      </c>
      <c r="B41" s="347" t="s">
        <v>464</v>
      </c>
      <c r="C41" s="347"/>
      <c r="D41" s="347"/>
      <c r="E41" s="347"/>
      <c r="F41" s="347"/>
      <c r="G41" s="348" t="s">
        <v>359</v>
      </c>
      <c r="H41" s="348" t="s">
        <v>360</v>
      </c>
      <c r="I41" s="348" t="s">
        <v>360</v>
      </c>
      <c r="J41" s="346" t="s">
        <v>434</v>
      </c>
      <c r="K41" s="331" t="s">
        <v>553</v>
      </c>
    </row>
    <row r="42" spans="1:13" ht="16" x14ac:dyDescent="0.2">
      <c r="A42" s="347" t="s">
        <v>554</v>
      </c>
      <c r="B42" s="347" t="s">
        <v>451</v>
      </c>
      <c r="C42" s="347"/>
      <c r="D42" s="347"/>
      <c r="E42" s="347"/>
      <c r="F42" s="347"/>
      <c r="G42" s="348" t="s">
        <v>359</v>
      </c>
      <c r="H42" s="348" t="s">
        <v>360</v>
      </c>
      <c r="I42" s="348" t="s">
        <v>360</v>
      </c>
      <c r="J42" s="348" t="s">
        <v>359</v>
      </c>
      <c r="K42" s="331" t="s">
        <v>555</v>
      </c>
    </row>
    <row r="43" spans="1:13" ht="16" x14ac:dyDescent="0.2">
      <c r="A43" t="s">
        <v>556</v>
      </c>
      <c r="B43" t="s">
        <v>557</v>
      </c>
      <c r="G43" s="335" t="s">
        <v>359</v>
      </c>
      <c r="H43" s="70" t="s">
        <v>434</v>
      </c>
      <c r="I43" s="335" t="s">
        <v>360</v>
      </c>
      <c r="J43" s="335" t="s">
        <v>360</v>
      </c>
      <c r="K43" s="331" t="s">
        <v>558</v>
      </c>
      <c r="M43" t="s">
        <v>559</v>
      </c>
    </row>
    <row r="44" spans="1:13" ht="16" x14ac:dyDescent="0.2">
      <c r="A44" t="s">
        <v>560</v>
      </c>
      <c r="B44" t="s">
        <v>561</v>
      </c>
      <c r="G44" s="335" t="s">
        <v>359</v>
      </c>
      <c r="H44" s="495" t="s">
        <v>360</v>
      </c>
      <c r="I44" s="346" t="s">
        <v>434</v>
      </c>
      <c r="J44" s="335" t="s">
        <v>360</v>
      </c>
      <c r="K44" s="331" t="s">
        <v>560</v>
      </c>
    </row>
  </sheetData>
  <autoFilter ref="A1:M1" xr:uid="{5B35B232-0D68-423F-89CD-D57F2739EBB1}"/>
  <dataValidations count="1">
    <dataValidation type="list" allowBlank="1" showInputMessage="1" showErrorMessage="1" sqref="G2:G37 G39:G44 H2:H10 H35:H37 H25:H29 H40:H42 J42:J44 I5 J2:J6 I7 J8 I9 J10 J14:J18 I11:I27 J23:J35 J38:J39 I30:I43 H44" xr:uid="{65FA7CB5-A857-9B41-BDC9-E87BCAA12E7E}">
      <formula1>Answer</formula1>
    </dataValidation>
  </dataValidations>
  <hyperlinks>
    <hyperlink ref="K2" location="'SCADA_Capacitors'!A1" display="SCADA_Capacitors" xr:uid="{E99F64F7-1B1A-4969-9D7F-0F26A9257458}"/>
    <hyperlink ref="K3" location="'LightningArrestorsRemovalReplac'!A1" display="LightningArrestorsRemovalReplac" xr:uid="{134BB239-6DBB-46C6-8588-B86D73670B6F}"/>
    <hyperlink ref="K6" location="'ExpulsionFuseReplacement'!A1" display="ExpulsionFuseReplacement" xr:uid="{345221DF-3FC8-4E4A-99E5-9D7307C54560}"/>
    <hyperlink ref="K7" location="'InfrastructureProtectionTeams'!A1" display="InfrastructureProtectionTeams" xr:uid="{BA3A1971-97F1-463F-8877-7111BF9D7B7F}"/>
    <hyperlink ref="K8" location="'DistributionUnderbuilt'!A1" display="DistributionUnderbuilt" xr:uid="{5A4C53B8-7BFB-429D-9B88-AF61AE992835}"/>
    <hyperlink ref="K9" location="'PoleBrushing'!A1" display="PoleBrushing" xr:uid="{EA80DA40-F727-4E45-A46E-32227E98A30D}"/>
    <hyperlink ref="K10" location="'AdvancedProtection'!A1" display="AdvancedProtection" xr:uid="{75C451BE-0E58-4B29-93CA-84E21893AE1A}"/>
    <hyperlink ref="K11" location="'Detailed inspections of vegetat'!A1" display="Detailed inspections of vegetat" xr:uid="{0A012582-AEA3-42EE-AE7E-AB4DB65F671C}"/>
    <hyperlink ref="K12" location="'EnhancedVegetationManagement'!A1" display="EnhancedVegetationManagement" xr:uid="{7B3F760A-35BB-4864-A5E6-4231B072D018}"/>
    <hyperlink ref="K13" location="'Fuel Management Slash Program'!A1" display="Fuel Management Slash Program" xr:uid="{5B6FBA84-6FC6-433C-AF3B-0BDD885D58E5}"/>
    <hyperlink ref="K14" location="'DSI_DroneInspections'!A1" display="DSI_DroneInspections" xr:uid="{4FC83F64-47BF-45BF-94A9-DCDC2F5961C2}"/>
    <hyperlink ref="K15" location="'DSI_CMP_10yrIntrusive'!A1" display="DSI_CMP_10yrIntrusive" xr:uid="{C4C9BF09-49F0-4399-9937-820DE170A477}"/>
    <hyperlink ref="K16" location="'DSI_CMP_AnnualPatrol'!A1" display="DSI_CMP_AnnualPatrol" xr:uid="{92A705EC-BD9B-4EF5-A5CF-924A313EEEC6}"/>
    <hyperlink ref="K17" location="'DSI_HFTD_QAQC_Tier3'!A1" display="DSI_HFTD_QAQC_Tier3" xr:uid="{6AF41811-AC6F-4950-A216-EB2FD872D134}"/>
    <hyperlink ref="K18" location="'DSI_CMP_5yr'!A1" display="DSI_CMP_5yr" xr:uid="{5E3197D0-372C-4964-BAFE-C2C983863B79}"/>
    <hyperlink ref="K19" location="'DSI_Infrared_Corona'!A1" display="DSI_Infrared_Corona" xr:uid="{68B360E7-960C-4CD3-9B31-8A983EEE9588}"/>
    <hyperlink ref="K20" location="'StandbyPowerPrograms'!A1" display="StandbyPowerPrograms" xr:uid="{AAC08A95-CB3D-4F0E-8456-A0942927B74C}"/>
    <hyperlink ref="K21" location="'GeneratorGrantProgram'!A1" display="GeneratorGrantProgram" xr:uid="{85AA4F54-9E26-4747-89CC-ABE18F33EDBE}"/>
    <hyperlink ref="K22" location="'GeneratorAssistanceProgram'!A1" display="GeneratorAssistanceProgram" xr:uid="{E63EAB34-9FDE-4801-9963-F8930BA225F8}"/>
    <hyperlink ref="K23" location="'ResilienceProgram_Microgrids'!A1" display="ResilienceProgram_Microgrids" xr:uid="{331C1C02-474F-42C6-951F-389A276DAA9E}"/>
    <hyperlink ref="K24" location="'DSI_DroneInspections'!A1" display="PSPS Sectionalizing" xr:uid="{9909BCD5-8A17-43AB-BE3A-449EB3A23CC5}"/>
    <hyperlink ref="K25" location="'DSI_CMP_10yrIntrusive'!A1" display="Strategic_Undergrounding" xr:uid="{19652EBB-1356-4316-BD18-14B599A23000}"/>
    <hyperlink ref="K26" location="'CoveredConductors'!A1" display="CoveredConductors" xr:uid="{46B610F5-A183-4FBA-AD9F-DC334B54C7B2}"/>
    <hyperlink ref="K27" location="'DSI_CMP_AnnualPatrol'!A1" display="Traditional_Hardening" xr:uid="{7827CF4E-0E65-4641-9584-CE771ADBE2DB}"/>
    <hyperlink ref="K28" location="'DSI_CMP_5yr'!A1" display="TransmisOHhardening" xr:uid="{ABF1772B-2907-405F-8A3B-852F0E720DB9}"/>
    <hyperlink ref="K29" location="'DSI_Infrared_Corona'!A1" display="TransmissionUGhardening" xr:uid="{D4F8578C-31CB-4C4F-929C-2B43643C28AB}"/>
    <hyperlink ref="K30" location="'StandbyPowerPrograms'!A1" display="TransmissionDetailed" xr:uid="{E77B669E-3002-4DA0-BCA3-16D474660605}"/>
    <hyperlink ref="K31" location="'GeneratorGrantProgram'!A1" display="TransmissionPatrols" xr:uid="{72A1CB17-FC44-40FF-9DCD-019F7FE83610}"/>
    <hyperlink ref="K32" location="'GeneratorAssistanceProgram'!A1" display="TransmissionInfrared" xr:uid="{70A8B7B8-151C-4974-933A-AD4BA75F0E1D}"/>
    <hyperlink ref="K33" location="'ResilienceProgram_Microgrids'!A1" display="AddTransAerial69kVI" xr:uid="{D46152B4-5D88-4FE2-A576-285BFB010083}"/>
    <hyperlink ref="K34" location="'DroneAssessmentTransmission'!A1" display="DroneAssessmentTransmission" xr:uid="{1A90D707-24D0-4E9A-8B20-3AADD4CE43EF}"/>
    <hyperlink ref="K35" location="'CNFTranmissionHardening'!A1" display="CNFTranmissionHardening" xr:uid="{C0AD0E8A-9B56-486A-9A8E-96F445D713E4}"/>
    <hyperlink ref="K36" location="'CNFHardening-UG'!A1" display="CNFHardening-UG" xr:uid="{4E859882-70CD-4ED9-A28F-E4761B530E4B}"/>
    <hyperlink ref="K37" location="'CNFHardening-OH'!A1" display="CNFHardening-OH" xr:uid="{DD5D8DFA-B8BB-4D33-8AB1-978C39A0E6B7}"/>
    <hyperlink ref="K38" location="'DSI_CircuitOwnership - No RSE'!A1" display="DSI_CircuitOwnership - No RSE" xr:uid="{5AF9A4D9-F756-48CA-92E6-CBAB2D5596AC}"/>
    <hyperlink ref="K39" location="'AviationFirefightingProg'!A1" display="AviationFirefightingProg" xr:uid="{AEE97BE6-F633-4338-9B73-6D88BCD61368}"/>
    <hyperlink ref="K40" location="'ReclosureProtocols'!A1" display="ReclosureProtocols" xr:uid="{7BEA8EF8-7F62-49A6-9104-4FB2577FBE49}"/>
    <hyperlink ref="K41" location="'ProtectionSettings'!A1" display="ProtectionSettings" xr:uid="{1E3C30A9-8F8C-4F7E-8295-721EE8F693F8}"/>
    <hyperlink ref="K42" location="'OtherSpecialWorkProcedures'!A1" display="OtherSpecialWorkProcedures" xr:uid="{5F1A5CFB-BF84-4EC4-AB61-5843F7B5C7D9}"/>
    <hyperlink ref="K43" location="'PSPSEventsandMitigationImpacts'!A1" display="PSPSEventsandMitigationImpacts" xr:uid="{43DF99EE-7927-45B0-9AE4-083CBFF14742}"/>
    <hyperlink ref="K44" location="'Avian Protection'!A1" display="Avian Protection" xr:uid="{8029D730-D0AD-4DCC-A9B9-2041DF0F56FE}"/>
    <hyperlink ref="K5" location="'HotLineClamps'!A1" display="HotLineClamps" xr:uid="{B5D9F6C8-D2E5-4927-B078-CC99A9299439}"/>
    <hyperlink ref="K4" location="'WirelessFaultIndicators'!A1" display="WirelessFaultIndicators" xr:uid="{42EABDF7-2F4A-4E35-9901-FF50E77E72E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09E8-E6D1-4F65-8BE4-5B0D7670173D}">
  <sheetPr>
    <tabColor theme="7"/>
  </sheetPr>
  <dimension ref="A1:S48"/>
  <sheetViews>
    <sheetView workbookViewId="0"/>
  </sheetViews>
  <sheetFormatPr baseColWidth="10" defaultColWidth="8.6640625" defaultRowHeight="15" x14ac:dyDescent="0.2"/>
  <cols>
    <col min="1" max="1" width="20.6640625" style="62" customWidth="1"/>
    <col min="2" max="13" width="15.6640625" style="62" customWidth="1"/>
    <col min="14" max="17" width="15.6640625" style="63" customWidth="1"/>
    <col min="18" max="29" width="14.6640625" style="63" customWidth="1"/>
    <col min="30" max="16384" width="8.6640625" style="63"/>
  </cols>
  <sheetData>
    <row r="1" spans="1:19" ht="32" x14ac:dyDescent="0.2">
      <c r="A1" s="6" t="s">
        <v>344</v>
      </c>
      <c r="B1" s="7" t="s">
        <v>345</v>
      </c>
      <c r="C1" s="7" t="s">
        <v>346</v>
      </c>
      <c r="D1" s="33" t="s">
        <v>347</v>
      </c>
      <c r="E1" s="33" t="s">
        <v>348</v>
      </c>
      <c r="F1" s="33" t="s">
        <v>349</v>
      </c>
      <c r="G1" s="33" t="s">
        <v>350</v>
      </c>
      <c r="H1" s="33" t="s">
        <v>351</v>
      </c>
      <c r="I1" s="33" t="s">
        <v>352</v>
      </c>
      <c r="J1" s="33" t="s">
        <v>353</v>
      </c>
      <c r="K1" s="70" t="s">
        <v>354</v>
      </c>
      <c r="L1" s="33" t="s">
        <v>355</v>
      </c>
    </row>
    <row r="2" spans="1:19" ht="35.25" customHeight="1" x14ac:dyDescent="0.2">
      <c r="A2" s="821" t="s">
        <v>562</v>
      </c>
      <c r="B2" s="824" t="s">
        <v>563</v>
      </c>
      <c r="C2" s="824" t="s">
        <v>503</v>
      </c>
      <c r="D2" s="44" t="s">
        <v>337</v>
      </c>
      <c r="E2" s="47" t="s">
        <v>360</v>
      </c>
      <c r="F2" s="58">
        <f>IF($E2="Yes",VLOOKUP($D2,Master_Table!$B$3:$I$9,2,TRUE),"N/A")</f>
        <v>4</v>
      </c>
      <c r="G2" s="58">
        <f>IF($E2="Yes",VLOOKUP($D2,Master_Table!$B$3:$I$9,3,TRUE),"N/A")</f>
        <v>1429.5137027032702</v>
      </c>
      <c r="H2" s="58">
        <f>IF($E2="Yes",VLOOKUP($D2,Master_Table!$B$3:$I$9,4,TRUE),"N/A")</f>
        <v>13.328947703270135</v>
      </c>
      <c r="I2" s="58">
        <f>IF($E2="Yes",VLOOKUP($D2,Master_Table!$B$3:$I$9,5,TRUE),"N/A")</f>
        <v>788.85687500000006</v>
      </c>
      <c r="J2" s="58">
        <f>IF($E2="Yes",VLOOKUP($D2,Master_Table!$B$3:$I$9,6,TRUE),"N/A")</f>
        <v>627.32788000000005</v>
      </c>
      <c r="K2" s="58">
        <f>IF($E2="Yes",VLOOKUP($D2,Master_Table!$B$3:$I$9,7,TRUE),"N/A")</f>
        <v>0</v>
      </c>
      <c r="L2" s="58">
        <f>IF($E2="Yes",VLOOKUP($D2,Master_Table!$B$3:$I$9,8,TRUE),"N/A")</f>
        <v>5718.0548108130806</v>
      </c>
    </row>
    <row r="3" spans="1:19" ht="35.25" customHeight="1" x14ac:dyDescent="0.2">
      <c r="A3" s="822"/>
      <c r="B3" s="825"/>
      <c r="C3" s="825"/>
      <c r="D3" s="45" t="s">
        <v>338</v>
      </c>
      <c r="E3" s="47" t="s">
        <v>360</v>
      </c>
      <c r="F3" s="58">
        <f>IF($E3="Yes",VLOOKUP($D3,Master_Table!$B$3:$I$9,2,TRUE),"N/A")</f>
        <v>4</v>
      </c>
      <c r="G3" s="58">
        <f>IF($E3="Yes",VLOOKUP($D3,Master_Table!$B$3:$I$9,3,TRUE),"N/A")</f>
        <v>438.48392331098103</v>
      </c>
      <c r="H3" s="58">
        <f>IF($E3="Yes",VLOOKUP($D3,Master_Table!$B$3:$I$9,4,TRUE),"N/A")</f>
        <v>3.9986843109810399</v>
      </c>
      <c r="I3" s="58">
        <f>IF($E3="Yes",VLOOKUP($D3,Master_Table!$B$3:$I$9,5,TRUE),"N/A")</f>
        <v>246.28687500000001</v>
      </c>
      <c r="J3" s="58">
        <f>IF($E3="Yes",VLOOKUP($D3,Master_Table!$B$3:$I$9,6,TRUE),"N/A")</f>
        <v>188.198364</v>
      </c>
      <c r="K3" s="58">
        <f>IF($E3="Yes",VLOOKUP($D3,Master_Table!$B$3:$I$9,7,TRUE),"N/A")</f>
        <v>0</v>
      </c>
      <c r="L3" s="58">
        <f>IF($E3="Yes",VLOOKUP($D3,Master_Table!$B$3:$I$9,8,TRUE),"N/A")</f>
        <v>1753.9356932439241</v>
      </c>
    </row>
    <row r="4" spans="1:19" ht="35.25" customHeight="1" x14ac:dyDescent="0.2">
      <c r="A4" s="822"/>
      <c r="B4" s="825"/>
      <c r="C4" s="825"/>
      <c r="D4" s="45" t="s">
        <v>339</v>
      </c>
      <c r="E4" s="47" t="s">
        <v>360</v>
      </c>
      <c r="F4" s="58">
        <f>IF($E4="Yes",VLOOKUP($D4,Master_Table!$B$3:$I$9,2,TRUE),"N/A")</f>
        <v>4</v>
      </c>
      <c r="G4" s="58">
        <f>IF($E4="Yes",VLOOKUP($D4,Master_Table!$B$3:$I$9,3,TRUE),"N/A")</f>
        <v>991.02977939228913</v>
      </c>
      <c r="H4" s="58">
        <f>IF($E4="Yes",VLOOKUP($D4,Master_Table!$B$3:$I$9,4,TRUE),"N/A")</f>
        <v>9.3302633922890941</v>
      </c>
      <c r="I4" s="58">
        <f>IF($E4="Yes",VLOOKUP($D4,Master_Table!$B$3:$I$9,5,TRUE),"N/A")</f>
        <v>542.57000000000005</v>
      </c>
      <c r="J4" s="58">
        <f>IF($E4="Yes",VLOOKUP($D4,Master_Table!$B$3:$I$9,6,TRUE),"N/A")</f>
        <v>439.12951600000002</v>
      </c>
      <c r="K4" s="58">
        <f>IF($E4="Yes",VLOOKUP($D4,Master_Table!$B$3:$I$9,7,TRUE),"N/A")</f>
        <v>0</v>
      </c>
      <c r="L4" s="58">
        <f>IF($E4="Yes",VLOOKUP($D4,Master_Table!$B$3:$I$9,8,TRUE),"N/A")</f>
        <v>3964.1191175691565</v>
      </c>
    </row>
    <row r="5" spans="1:19" ht="35.25" customHeight="1" x14ac:dyDescent="0.2">
      <c r="A5" s="822"/>
      <c r="B5" s="825"/>
      <c r="C5" s="825"/>
      <c r="D5" s="45" t="s">
        <v>340</v>
      </c>
      <c r="E5" s="47" t="s">
        <v>359</v>
      </c>
      <c r="F5" s="35" t="str">
        <f>IF($E5="Yes",VLOOKUP($D5,Master_Table!$B$3:$I$9,2,TRUE),"N/A")</f>
        <v>N/A</v>
      </c>
      <c r="G5" s="35" t="str">
        <f>IF($E5="Yes",VLOOKUP($D5,Master_Table!$B$3:$I$9,3,TRUE),"N/A")</f>
        <v>N/A</v>
      </c>
      <c r="H5" s="35" t="str">
        <f>IF($E5="Yes",VLOOKUP($D5,Master_Table!$B$3:$I$9,4,TRUE),"N/A")</f>
        <v>N/A</v>
      </c>
      <c r="I5" s="35" t="str">
        <f>IF($E5="Yes",VLOOKUP($D5,Master_Table!$B$3:$I$9,5,TRUE),"N/A")</f>
        <v>N/A</v>
      </c>
      <c r="J5" s="35" t="str">
        <f>IF($E5="Yes",VLOOKUP($D5,Master_Table!$B$3:$I$9,6,TRUE),"N/A")</f>
        <v>N/A</v>
      </c>
      <c r="K5" s="35" t="str">
        <f>IF($E5="Yes",VLOOKUP($D5,Master_Table!$B$3:$I$9,7,TRUE),"N/A")</f>
        <v>N/A</v>
      </c>
      <c r="L5" s="35" t="str">
        <f>IF($E5="Yes",VLOOKUP($D5,Master_Table!$B$3:$I$9,8,TRUE),"N/A")</f>
        <v>N/A</v>
      </c>
    </row>
    <row r="6" spans="1:19" ht="35.25" customHeight="1" x14ac:dyDescent="0.2">
      <c r="A6" s="822"/>
      <c r="B6" s="825"/>
      <c r="C6" s="825"/>
      <c r="D6" s="45" t="s">
        <v>341</v>
      </c>
      <c r="E6" s="47" t="s">
        <v>359</v>
      </c>
      <c r="F6" s="35" t="str">
        <f>IF($E6="Yes",VLOOKUP($D6,Master_Table!$B$3:$I$9,2,TRUE),"N/A")</f>
        <v>N/A</v>
      </c>
      <c r="G6" s="35" t="str">
        <f>IF($E6="Yes",VLOOKUP($D6,Master_Table!$B$3:$I$9,3,TRUE),"N/A")</f>
        <v>N/A</v>
      </c>
      <c r="H6" s="35" t="str">
        <f>IF($E6="Yes",VLOOKUP($D6,Master_Table!$B$3:$I$9,4,TRUE),"N/A")</f>
        <v>N/A</v>
      </c>
      <c r="I6" s="35" t="str">
        <f>IF($E6="Yes",VLOOKUP($D6,Master_Table!$B$3:$I$9,5,TRUE),"N/A")</f>
        <v>N/A</v>
      </c>
      <c r="J6" s="35" t="str">
        <f>IF($E6="Yes",VLOOKUP($D6,Master_Table!$B$3:$I$9,6,TRUE),"N/A")</f>
        <v>N/A</v>
      </c>
      <c r="K6" s="35" t="str">
        <f>IF($E6="Yes",VLOOKUP($D6,Master_Table!$B$3:$I$9,7,TRUE),"N/A")</f>
        <v>N/A</v>
      </c>
      <c r="L6" s="35" t="str">
        <f>IF($E6="Yes",VLOOKUP($D6,Master_Table!$B$3:$I$9,8,TRUE),"N/A")</f>
        <v>N/A</v>
      </c>
    </row>
    <row r="7" spans="1:19" ht="35.25" customHeight="1" x14ac:dyDescent="0.2">
      <c r="A7" s="822"/>
      <c r="B7" s="825"/>
      <c r="C7" s="825"/>
      <c r="D7" s="45" t="s">
        <v>342</v>
      </c>
      <c r="E7" s="47" t="s">
        <v>359</v>
      </c>
      <c r="F7" s="35" t="str">
        <f>IF($E7="Yes",VLOOKUP($D7,Master_Table!$B$3:$I$9,2,TRUE),"N/A")</f>
        <v>N/A</v>
      </c>
      <c r="G7" s="35" t="str">
        <f>IF($E7="Yes",VLOOKUP($D7,Master_Table!$B$3:$I$9,3,TRUE),"N/A")</f>
        <v>N/A</v>
      </c>
      <c r="H7" s="35" t="str">
        <f>IF($E7="Yes",VLOOKUP($D7,Master_Table!$B$3:$I$9,4,TRUE),"N/A")</f>
        <v>N/A</v>
      </c>
      <c r="I7" s="35" t="str">
        <f>IF($E7="Yes",VLOOKUP($D7,Master_Table!$B$3:$I$9,5,TRUE),"N/A")</f>
        <v>N/A</v>
      </c>
      <c r="J7" s="35" t="str">
        <f>IF($E7="Yes",VLOOKUP($D7,Master_Table!$B$3:$I$9,6,TRUE),"N/A")</f>
        <v>N/A</v>
      </c>
      <c r="K7" s="35" t="str">
        <f>IF($E7="Yes",VLOOKUP($D7,Master_Table!$B$3:$I$9,7,TRUE),"N/A")</f>
        <v>N/A</v>
      </c>
      <c r="L7" s="35" t="str">
        <f>IF($E7="Yes",VLOOKUP($D7,Master_Table!$B$3:$I$9,8,TRUE),"N/A")</f>
        <v>N/A</v>
      </c>
    </row>
    <row r="8" spans="1:19" ht="35.25" customHeight="1" x14ac:dyDescent="0.2">
      <c r="A8" s="823"/>
      <c r="B8" s="826"/>
      <c r="C8" s="826"/>
      <c r="D8" s="45" t="s">
        <v>343</v>
      </c>
      <c r="E8" s="47" t="s">
        <v>359</v>
      </c>
      <c r="F8" s="35" t="str">
        <f>IF($E8="Yes",VLOOKUP($D8,Master_Table!$B$3:$I$9,2,TRUE),"N/A")</f>
        <v>N/A</v>
      </c>
      <c r="G8" s="35" t="str">
        <f>IF($E8="Yes",VLOOKUP($D8,Master_Table!$B$3:$I$9,3,TRUE),"N/A")</f>
        <v>N/A</v>
      </c>
      <c r="H8" s="35" t="str">
        <f>IF($E8="Yes",VLOOKUP($D8,Master_Table!$B$3:$I$9,4,TRUE),"N/A")</f>
        <v>N/A</v>
      </c>
      <c r="I8" s="35" t="str">
        <f>IF($E8="Yes",VLOOKUP($D8,Master_Table!$B$3:$I$9,5,TRUE),"N/A")</f>
        <v>N/A</v>
      </c>
      <c r="J8" s="35" t="str">
        <f>IF($E8="Yes",VLOOKUP($D8,Master_Table!$B$3:$I$9,6,TRUE),"N/A")</f>
        <v>N/A</v>
      </c>
      <c r="K8" s="35" t="str">
        <f>IF($E8="Yes",VLOOKUP($D8,Master_Table!$B$3:$I$9,7,TRUE),"N/A")</f>
        <v>N/A</v>
      </c>
      <c r="L8" s="35" t="str">
        <f>IF($E8="Yes",VLOOKUP($D8,Master_Table!$B$3:$I$9,8,TRUE),"N/A")</f>
        <v>N/A</v>
      </c>
    </row>
    <row r="9" spans="1:19" ht="25.5" customHeight="1" x14ac:dyDescent="0.2">
      <c r="A9" s="7" t="s">
        <v>564</v>
      </c>
      <c r="B9" s="2"/>
      <c r="C9" s="2"/>
    </row>
    <row r="10" spans="1:19" ht="25.5" customHeight="1" x14ac:dyDescent="0.2">
      <c r="A10" s="8" t="s">
        <v>504</v>
      </c>
      <c r="B10" s="2"/>
      <c r="C10" s="2"/>
    </row>
    <row r="11" spans="1:19" ht="25.5" customHeight="1" x14ac:dyDescent="0.2">
      <c r="A11" s="2"/>
      <c r="B11" s="2"/>
      <c r="C11" s="2"/>
    </row>
    <row r="12" spans="1:19" s="62" customFormat="1" ht="48" x14ac:dyDescent="0.2">
      <c r="A12" s="16" t="s">
        <v>361</v>
      </c>
      <c r="B12" s="60" t="s">
        <v>565</v>
      </c>
      <c r="C12" s="59" t="s">
        <v>566</v>
      </c>
      <c r="D12" s="59" t="s">
        <v>567</v>
      </c>
      <c r="E12" s="59" t="s">
        <v>568</v>
      </c>
      <c r="F12" s="59" t="s">
        <v>225</v>
      </c>
      <c r="G12" s="59" t="s">
        <v>226</v>
      </c>
      <c r="H12" s="59" t="s">
        <v>569</v>
      </c>
      <c r="I12" s="59" t="s">
        <v>570</v>
      </c>
      <c r="J12" s="59" t="s">
        <v>571</v>
      </c>
      <c r="K12" s="59" t="s">
        <v>572</v>
      </c>
      <c r="L12" s="124" t="s">
        <v>573</v>
      </c>
      <c r="M12" s="125" t="s">
        <v>574</v>
      </c>
      <c r="N12" s="817" t="s">
        <v>575</v>
      </c>
      <c r="O12" s="818"/>
      <c r="P12" s="819"/>
      <c r="Q12" s="817" t="s">
        <v>576</v>
      </c>
      <c r="R12" s="818"/>
      <c r="S12" s="819"/>
    </row>
    <row r="13" spans="1:19" ht="16" x14ac:dyDescent="0.2">
      <c r="A13" s="71" t="s">
        <v>74</v>
      </c>
      <c r="B13" s="72">
        <v>6</v>
      </c>
      <c r="C13" s="77">
        <v>0.2</v>
      </c>
      <c r="D13" s="77">
        <v>293.75</v>
      </c>
      <c r="E13" s="73">
        <v>411</v>
      </c>
      <c r="F13" s="77">
        <v>12.93</v>
      </c>
      <c r="G13" s="77">
        <v>6.88</v>
      </c>
      <c r="H13" s="73">
        <v>30</v>
      </c>
      <c r="I13" s="73">
        <v>162</v>
      </c>
      <c r="J13" s="73">
        <v>1489</v>
      </c>
      <c r="K13" s="75">
        <v>2.7400000000000001E-2</v>
      </c>
      <c r="L13" s="76">
        <v>1848</v>
      </c>
      <c r="M13" s="73"/>
      <c r="N13" s="76">
        <v>2022</v>
      </c>
      <c r="O13" s="76">
        <v>2023</v>
      </c>
      <c r="P13" s="76">
        <v>2024</v>
      </c>
      <c r="Q13" s="76">
        <v>2022</v>
      </c>
      <c r="R13" s="76">
        <v>2023</v>
      </c>
      <c r="S13" s="76">
        <v>2024</v>
      </c>
    </row>
    <row r="14" spans="1:19" ht="16" x14ac:dyDescent="0.2">
      <c r="A14" s="71" t="s">
        <v>76</v>
      </c>
      <c r="B14" s="72">
        <v>5</v>
      </c>
      <c r="C14" s="77">
        <v>0.4</v>
      </c>
      <c r="D14" s="77">
        <v>293.75</v>
      </c>
      <c r="E14" s="73">
        <v>411</v>
      </c>
      <c r="F14" s="77">
        <v>12.93</v>
      </c>
      <c r="G14" s="77"/>
      <c r="H14" s="73"/>
      <c r="I14" s="73"/>
      <c r="J14" s="73">
        <v>0</v>
      </c>
      <c r="K14" s="73"/>
      <c r="L14" s="73">
        <v>0</v>
      </c>
      <c r="M14" s="73"/>
      <c r="N14" s="76">
        <v>50</v>
      </c>
      <c r="O14" s="79">
        <v>78.099999999999994</v>
      </c>
      <c r="P14" s="79">
        <v>93.8</v>
      </c>
      <c r="Q14" s="76" t="e">
        <f>N14*#REF!/100</f>
        <v>#REF!</v>
      </c>
      <c r="R14" s="76" t="e">
        <f>O14*#REF!/100</f>
        <v>#REF!</v>
      </c>
      <c r="S14" s="76" t="e">
        <f>P14*#REF!/100</f>
        <v>#REF!</v>
      </c>
    </row>
    <row r="15" spans="1:19" ht="16" x14ac:dyDescent="0.2">
      <c r="A15" s="71" t="s">
        <v>363</v>
      </c>
      <c r="B15" s="72"/>
      <c r="C15" s="77"/>
      <c r="D15" s="73"/>
      <c r="E15" s="73"/>
      <c r="F15" s="73"/>
      <c r="G15" s="73"/>
      <c r="H15" s="73"/>
      <c r="I15" s="73"/>
      <c r="J15" s="73">
        <v>0</v>
      </c>
      <c r="K15" s="73"/>
      <c r="L15" s="73">
        <v>0</v>
      </c>
      <c r="M15" s="73"/>
      <c r="N15" s="76"/>
      <c r="O15" s="76"/>
      <c r="P15" s="76"/>
      <c r="Q15" s="76"/>
      <c r="R15" s="76"/>
      <c r="S15" s="76"/>
    </row>
    <row r="16" spans="1:19" ht="16" x14ac:dyDescent="0.2">
      <c r="A16" s="71" t="s">
        <v>364</v>
      </c>
      <c r="B16" s="72">
        <f>SUM(B13:B15)</f>
        <v>11</v>
      </c>
      <c r="C16" s="77">
        <f>SUM(C13:C15)</f>
        <v>0.60000000000000009</v>
      </c>
      <c r="D16" s="73"/>
      <c r="E16" s="73"/>
      <c r="F16" s="73"/>
      <c r="G16" s="73"/>
      <c r="H16" s="73">
        <f>SUM(H13:H15)</f>
        <v>30</v>
      </c>
      <c r="I16" s="73"/>
      <c r="J16" s="73">
        <f>SUM(J13:J15)</f>
        <v>1489</v>
      </c>
      <c r="K16" s="73"/>
      <c r="L16" s="73">
        <f>SUM(L13:L14)</f>
        <v>1848</v>
      </c>
      <c r="M16" s="73"/>
      <c r="N16" s="76"/>
      <c r="O16" s="76"/>
      <c r="P16" s="76"/>
      <c r="Q16" s="76"/>
      <c r="R16" s="76"/>
      <c r="S16" s="76"/>
    </row>
    <row r="17" spans="1:19" ht="16" thickBot="1" x14ac:dyDescent="0.25">
      <c r="N17" s="62"/>
      <c r="O17" s="62"/>
    </row>
    <row r="18" spans="1:19" ht="33" thickTop="1" x14ac:dyDescent="0.2">
      <c r="A18" s="16" t="s">
        <v>365</v>
      </c>
      <c r="B18" s="81" t="s">
        <v>366</v>
      </c>
      <c r="C18" s="82" t="s">
        <v>367</v>
      </c>
      <c r="D18" s="82" t="s">
        <v>368</v>
      </c>
      <c r="E18" s="82" t="s">
        <v>369</v>
      </c>
      <c r="F18" s="82" t="s">
        <v>370</v>
      </c>
      <c r="G18" s="82" t="s">
        <v>371</v>
      </c>
      <c r="H18" s="83" t="s">
        <v>372</v>
      </c>
      <c r="J18" s="63" t="s">
        <v>577</v>
      </c>
      <c r="N18" s="62"/>
      <c r="O18" s="62"/>
    </row>
    <row r="19" spans="1:19" ht="16" x14ac:dyDescent="0.2">
      <c r="A19" s="71" t="s">
        <v>74</v>
      </c>
      <c r="B19" s="111">
        <v>0.05</v>
      </c>
      <c r="C19" s="85" t="e">
        <f>B19*E2</f>
        <v>#VALUE!</v>
      </c>
      <c r="D19" s="86">
        <v>0</v>
      </c>
      <c r="E19" s="85">
        <v>0</v>
      </c>
      <c r="F19" s="87">
        <v>25000</v>
      </c>
      <c r="G19" s="87">
        <v>0</v>
      </c>
      <c r="H19" s="48">
        <v>25</v>
      </c>
      <c r="J19" s="63" t="s">
        <v>578</v>
      </c>
      <c r="N19" s="62"/>
      <c r="O19" s="62"/>
    </row>
    <row r="20" spans="1:19" ht="16" x14ac:dyDescent="0.2">
      <c r="A20" s="71" t="s">
        <v>76</v>
      </c>
      <c r="B20" s="89"/>
      <c r="C20" s="90"/>
      <c r="D20" s="90"/>
      <c r="E20" s="90"/>
      <c r="F20" s="90"/>
      <c r="G20" s="90"/>
      <c r="H20" s="91"/>
      <c r="N20" s="62"/>
      <c r="O20" s="62"/>
    </row>
    <row r="21" spans="1:19" ht="16" x14ac:dyDescent="0.2">
      <c r="A21" s="71" t="s">
        <v>363</v>
      </c>
      <c r="B21" s="89"/>
      <c r="C21" s="90"/>
      <c r="D21" s="90"/>
      <c r="E21" s="90"/>
      <c r="F21" s="90"/>
      <c r="G21" s="90"/>
      <c r="H21" s="91"/>
      <c r="N21" s="62"/>
      <c r="O21" s="62"/>
    </row>
    <row r="22" spans="1:19" ht="17" thickBot="1" x14ac:dyDescent="0.25">
      <c r="A22" s="71" t="s">
        <v>364</v>
      </c>
      <c r="B22" s="92"/>
      <c r="C22" s="93"/>
      <c r="D22" s="93"/>
      <c r="E22" s="93"/>
      <c r="F22" s="93"/>
      <c r="G22" s="93"/>
      <c r="H22" s="94"/>
      <c r="N22" s="62"/>
      <c r="O22" s="62"/>
    </row>
    <row r="23" spans="1:19" ht="16" thickTop="1" x14ac:dyDescent="0.2">
      <c r="A23" s="63"/>
      <c r="D23" s="63"/>
      <c r="E23" s="63"/>
      <c r="F23" s="63"/>
      <c r="N23" s="62"/>
      <c r="O23" s="62"/>
    </row>
    <row r="24" spans="1:19" x14ac:dyDescent="0.2">
      <c r="A24" s="63"/>
      <c r="D24" s="63"/>
      <c r="E24" s="63"/>
      <c r="F24" s="63"/>
      <c r="N24" s="62"/>
      <c r="O24" s="62"/>
    </row>
    <row r="25" spans="1:19" ht="30" customHeight="1" x14ac:dyDescent="0.2">
      <c r="A25" s="16" t="s">
        <v>373</v>
      </c>
      <c r="B25" s="60" t="s">
        <v>362</v>
      </c>
      <c r="C25" s="59" t="s">
        <v>362</v>
      </c>
      <c r="D25" s="59" t="s">
        <v>362</v>
      </c>
      <c r="E25" s="59" t="s">
        <v>362</v>
      </c>
      <c r="F25" s="59" t="s">
        <v>362</v>
      </c>
      <c r="G25" s="59" t="s">
        <v>362</v>
      </c>
      <c r="H25" s="59" t="s">
        <v>362</v>
      </c>
      <c r="I25" s="59" t="s">
        <v>362</v>
      </c>
      <c r="J25" s="59" t="s">
        <v>362</v>
      </c>
      <c r="K25" s="59" t="s">
        <v>362</v>
      </c>
      <c r="L25" s="59" t="s">
        <v>362</v>
      </c>
      <c r="M25" s="59" t="s">
        <v>362</v>
      </c>
      <c r="N25" s="59" t="s">
        <v>362</v>
      </c>
      <c r="O25" s="59" t="s">
        <v>362</v>
      </c>
      <c r="P25" s="59" t="s">
        <v>362</v>
      </c>
      <c r="Q25" s="59" t="s">
        <v>362</v>
      </c>
      <c r="R25" s="59" t="s">
        <v>362</v>
      </c>
      <c r="S25" s="59" t="s">
        <v>362</v>
      </c>
    </row>
    <row r="26" spans="1:19" ht="16" x14ac:dyDescent="0.2">
      <c r="A26" s="71" t="s">
        <v>74</v>
      </c>
      <c r="B26" s="72"/>
      <c r="C26" s="73"/>
      <c r="D26" s="73"/>
      <c r="E26" s="73"/>
      <c r="F26" s="73"/>
      <c r="G26" s="73"/>
      <c r="H26" s="73"/>
      <c r="I26" s="73"/>
      <c r="J26" s="75"/>
      <c r="K26" s="75"/>
      <c r="L26" s="76"/>
      <c r="M26" s="73"/>
      <c r="N26" s="76"/>
      <c r="O26" s="76"/>
      <c r="P26" s="76"/>
      <c r="Q26" s="76"/>
      <c r="R26" s="76"/>
      <c r="S26" s="76"/>
    </row>
    <row r="27" spans="1:19" ht="16" x14ac:dyDescent="0.2">
      <c r="A27" s="71" t="s">
        <v>76</v>
      </c>
      <c r="B27" s="72"/>
      <c r="C27" s="73"/>
      <c r="D27" s="73"/>
      <c r="E27" s="73"/>
      <c r="F27" s="73"/>
      <c r="G27" s="73"/>
      <c r="H27" s="73"/>
      <c r="I27" s="73"/>
      <c r="J27" s="73"/>
      <c r="K27" s="73"/>
      <c r="L27" s="73"/>
      <c r="M27" s="73"/>
      <c r="N27" s="76"/>
      <c r="O27" s="76"/>
      <c r="P27" s="76"/>
      <c r="Q27" s="76"/>
      <c r="R27" s="76"/>
      <c r="S27" s="76"/>
    </row>
    <row r="28" spans="1:19" s="62" customFormat="1" ht="16" x14ac:dyDescent="0.2">
      <c r="A28" s="71" t="s">
        <v>364</v>
      </c>
      <c r="B28" s="72"/>
      <c r="C28" s="73"/>
      <c r="D28" s="73"/>
      <c r="E28" s="73"/>
      <c r="F28" s="73"/>
      <c r="G28" s="73"/>
      <c r="H28" s="73"/>
      <c r="I28" s="73"/>
      <c r="J28" s="73"/>
      <c r="K28" s="73"/>
      <c r="L28" s="73"/>
      <c r="M28" s="73"/>
      <c r="N28" s="76"/>
      <c r="O28" s="76"/>
      <c r="P28" s="76"/>
      <c r="Q28" s="76"/>
      <c r="R28" s="76"/>
      <c r="S28" s="76"/>
    </row>
    <row r="29" spans="1:19" s="62" customFormat="1" ht="16" thickBot="1" x14ac:dyDescent="0.25">
      <c r="A29" s="820"/>
      <c r="B29" s="820"/>
      <c r="C29" s="820"/>
      <c r="D29" s="63"/>
      <c r="E29" s="63"/>
      <c r="N29" s="63"/>
    </row>
    <row r="30" spans="1:19" s="62" customFormat="1" ht="33" thickTop="1" x14ac:dyDescent="0.2">
      <c r="A30" s="16" t="s">
        <v>399</v>
      </c>
      <c r="B30" s="81" t="s">
        <v>366</v>
      </c>
      <c r="C30" s="82" t="s">
        <v>367</v>
      </c>
      <c r="D30" s="82" t="s">
        <v>368</v>
      </c>
      <c r="E30" s="82" t="s">
        <v>369</v>
      </c>
      <c r="F30" s="82" t="s">
        <v>370</v>
      </c>
      <c r="G30" s="82" t="s">
        <v>371</v>
      </c>
      <c r="H30" s="83" t="s">
        <v>372</v>
      </c>
      <c r="J30" s="63" t="s">
        <v>577</v>
      </c>
      <c r="N30" s="63"/>
    </row>
    <row r="31" spans="1:19" s="62" customFormat="1" ht="16" x14ac:dyDescent="0.2">
      <c r="A31" s="71" t="s">
        <v>74</v>
      </c>
      <c r="B31" s="89"/>
      <c r="C31" s="90"/>
      <c r="D31" s="90"/>
      <c r="E31" s="90"/>
      <c r="F31" s="90"/>
      <c r="G31" s="90"/>
      <c r="H31" s="91"/>
      <c r="J31" s="63" t="s">
        <v>578</v>
      </c>
      <c r="N31" s="63"/>
    </row>
    <row r="32" spans="1:19" s="62" customFormat="1" ht="16" x14ac:dyDescent="0.2">
      <c r="A32" s="71" t="s">
        <v>76</v>
      </c>
      <c r="B32" s="89"/>
      <c r="C32" s="90"/>
      <c r="D32" s="90"/>
      <c r="E32" s="90"/>
      <c r="F32" s="90"/>
      <c r="G32" s="90"/>
      <c r="H32" s="91"/>
      <c r="N32" s="63"/>
    </row>
    <row r="33" spans="1:14" s="62" customFormat="1" ht="17" thickBot="1" x14ac:dyDescent="0.25">
      <c r="A33" s="71" t="s">
        <v>364</v>
      </c>
      <c r="B33" s="92"/>
      <c r="C33" s="93"/>
      <c r="D33" s="93"/>
      <c r="E33" s="93"/>
      <c r="F33" s="93"/>
      <c r="G33" s="93"/>
      <c r="H33" s="94"/>
      <c r="N33" s="63"/>
    </row>
    <row r="34" spans="1:14" s="62" customFormat="1" ht="16" thickTop="1" x14ac:dyDescent="0.2">
      <c r="A34" s="112"/>
      <c r="B34" s="112"/>
      <c r="C34" s="104"/>
      <c r="D34" s="105"/>
      <c r="N34" s="63"/>
    </row>
    <row r="35" spans="1:14" s="62" customFormat="1" x14ac:dyDescent="0.2">
      <c r="A35" s="685"/>
      <c r="B35" s="685"/>
      <c r="N35" s="63"/>
    </row>
    <row r="36" spans="1:14" s="62" customFormat="1" ht="16" x14ac:dyDescent="0.2">
      <c r="A36" s="151" t="s">
        <v>579</v>
      </c>
      <c r="B36" s="152"/>
      <c r="N36" s="63"/>
    </row>
    <row r="37" spans="1:14" s="62" customFormat="1" x14ac:dyDescent="0.2">
      <c r="A37" s="685"/>
      <c r="B37" s="685"/>
      <c r="N37" s="63"/>
    </row>
    <row r="38" spans="1:14" s="62" customFormat="1" x14ac:dyDescent="0.2">
      <c r="A38" s="113"/>
      <c r="B38" s="113"/>
      <c r="C38" s="113"/>
      <c r="F38" s="113"/>
      <c r="G38" s="113"/>
      <c r="K38" s="112"/>
      <c r="N38" s="63"/>
    </row>
    <row r="39" spans="1:14" s="62" customFormat="1" x14ac:dyDescent="0.2">
      <c r="A39" s="686"/>
      <c r="B39" s="686"/>
      <c r="F39" s="686"/>
      <c r="K39" s="686"/>
      <c r="N39" s="63"/>
    </row>
    <row r="40" spans="1:14" s="62" customFormat="1" x14ac:dyDescent="0.2">
      <c r="A40" s="686"/>
      <c r="B40" s="686"/>
      <c r="F40" s="686"/>
      <c r="K40" s="686"/>
      <c r="N40" s="63"/>
    </row>
    <row r="41" spans="1:14" s="62" customFormat="1" x14ac:dyDescent="0.2">
      <c r="A41" s="686"/>
      <c r="B41" s="686"/>
      <c r="C41" s="107"/>
      <c r="F41" s="686"/>
      <c r="G41" s="107"/>
      <c r="K41" s="686"/>
      <c r="L41" s="107"/>
      <c r="N41" s="63"/>
    </row>
    <row r="42" spans="1:14" s="62" customFormat="1" x14ac:dyDescent="0.2">
      <c r="A42" s="686"/>
      <c r="B42" s="686"/>
      <c r="F42" s="686"/>
      <c r="K42" s="686"/>
      <c r="N42" s="63"/>
    </row>
    <row r="43" spans="1:14" s="62" customFormat="1" x14ac:dyDescent="0.2">
      <c r="A43" s="685"/>
      <c r="B43" s="685"/>
      <c r="N43" s="63"/>
    </row>
    <row r="44" spans="1:14" s="62" customFormat="1" x14ac:dyDescent="0.2">
      <c r="A44" s="685"/>
      <c r="B44" s="685"/>
      <c r="C44" s="114"/>
      <c r="D44" s="115"/>
      <c r="E44" s="114"/>
      <c r="F44" s="114"/>
      <c r="N44" s="63"/>
    </row>
    <row r="45" spans="1:14" s="62" customFormat="1" x14ac:dyDescent="0.2">
      <c r="N45" s="63"/>
    </row>
    <row r="46" spans="1:14" s="62" customFormat="1" x14ac:dyDescent="0.2">
      <c r="N46" s="63"/>
    </row>
    <row r="48" spans="1:14" s="62" customFormat="1" x14ac:dyDescent="0.2">
      <c r="N48" s="63"/>
    </row>
  </sheetData>
  <mergeCells count="6">
    <mergeCell ref="N12:P12"/>
    <mergeCell ref="Q12:S12"/>
    <mergeCell ref="A29:C29"/>
    <mergeCell ref="A2:A8"/>
    <mergeCell ref="C2:C8"/>
    <mergeCell ref="B2:B8"/>
  </mergeCells>
  <dataValidations count="1">
    <dataValidation type="list" allowBlank="1" showInputMessage="1" showErrorMessage="1" sqref="E2:E8" xr:uid="{FC9D958D-6B8F-4590-A83E-9077C82E33E2}">
      <formula1>Answer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B9DF-160C-4974-BE54-4E57476038C2}">
  <sheetPr>
    <tabColor rgb="FFFFC000"/>
  </sheetPr>
  <dimension ref="A1:AB50"/>
  <sheetViews>
    <sheetView workbookViewId="0"/>
  </sheetViews>
  <sheetFormatPr baseColWidth="10" defaultColWidth="8.6640625" defaultRowHeight="15" x14ac:dyDescent="0.2"/>
  <cols>
    <col min="1" max="1" width="20.6640625" style="62" customWidth="1"/>
    <col min="2" max="11" width="15.6640625" style="62" customWidth="1"/>
    <col min="12" max="12" width="14.6640625" style="63" customWidth="1"/>
    <col min="13" max="13" width="19.33203125" style="63" customWidth="1"/>
    <col min="14" max="19" width="14.6640625" style="63" customWidth="1"/>
    <col min="20" max="20" width="13.33203125" style="63" customWidth="1"/>
    <col min="21" max="21" width="12.6640625" style="63" customWidth="1"/>
    <col min="22" max="22" width="13.6640625" style="63" customWidth="1"/>
    <col min="23" max="23" width="12.5" style="63" customWidth="1"/>
    <col min="24" max="24" width="15.6640625" style="63" customWidth="1"/>
    <col min="25" max="25" width="14.5" style="63" bestFit="1" customWidth="1"/>
    <col min="26" max="26" width="9.33203125" style="63" customWidth="1"/>
    <col min="27" max="27" width="13.5" style="63" bestFit="1" customWidth="1"/>
    <col min="28" max="28" width="11.6640625" style="63" bestFit="1" customWidth="1"/>
    <col min="29" max="16384" width="8.6640625" style="63"/>
  </cols>
  <sheetData>
    <row r="1" spans="1:28" ht="32" x14ac:dyDescent="0.2">
      <c r="A1" s="6" t="s">
        <v>344</v>
      </c>
      <c r="B1" s="7" t="s">
        <v>345</v>
      </c>
      <c r="C1" s="7" t="s">
        <v>346</v>
      </c>
      <c r="D1" s="33" t="s">
        <v>347</v>
      </c>
      <c r="E1" s="33" t="s">
        <v>348</v>
      </c>
      <c r="F1" s="33" t="s">
        <v>349</v>
      </c>
      <c r="G1" s="33" t="s">
        <v>350</v>
      </c>
      <c r="H1" s="33" t="s">
        <v>351</v>
      </c>
      <c r="I1" s="33" t="s">
        <v>352</v>
      </c>
      <c r="J1" s="33" t="s">
        <v>353</v>
      </c>
      <c r="K1" s="70" t="s">
        <v>354</v>
      </c>
      <c r="L1" s="33" t="s">
        <v>355</v>
      </c>
    </row>
    <row r="2" spans="1:28" ht="35.25" customHeight="1" x14ac:dyDescent="0.2">
      <c r="A2" s="821" t="s">
        <v>580</v>
      </c>
      <c r="B2" s="824" t="s">
        <v>581</v>
      </c>
      <c r="C2" s="824" t="s">
        <v>445</v>
      </c>
      <c r="D2" s="44" t="s">
        <v>337</v>
      </c>
      <c r="E2" s="47" t="s">
        <v>359</v>
      </c>
      <c r="F2" s="35" t="str">
        <f>IF($E2="Yes",VLOOKUP($D2,Master_Table!$B$3:$I$9,2,TRUE),"N/A")</f>
        <v>N/A</v>
      </c>
      <c r="G2" s="35" t="str">
        <f>IF($E2="Yes",VLOOKUP($D2,Master_Table!$B$3:$I$9,3,TRUE),"N/A")</f>
        <v>N/A</v>
      </c>
      <c r="H2" s="35" t="str">
        <f>IF($E2="Yes",VLOOKUP($D2,Master_Table!$B$3:$I$9,4,TRUE),"N/A")</f>
        <v>N/A</v>
      </c>
      <c r="I2" s="35" t="str">
        <f>IF($E2="Yes",VLOOKUP($D2,Master_Table!$B$3:$I$9,5,TRUE),"N/A")</f>
        <v>N/A</v>
      </c>
      <c r="J2" s="35" t="str">
        <f>IF($E2="Yes",VLOOKUP($D2,Master_Table!$B$3:$I$9,6,TRUE),"N/A")</f>
        <v>N/A</v>
      </c>
      <c r="K2" s="35" t="str">
        <f>IF($E2="Yes",VLOOKUP($D2,Master_Table!$B$3:$I$9,7,TRUE),"N/A")</f>
        <v>N/A</v>
      </c>
      <c r="L2" s="35" t="str">
        <f>IF($E2="Yes",VLOOKUP($D2,Master_Table!$B$3:$I$9,8,TRUE),"N/A")</f>
        <v>N/A</v>
      </c>
    </row>
    <row r="3" spans="1:28" ht="35.25" customHeight="1" x14ac:dyDescent="0.2">
      <c r="A3" s="822"/>
      <c r="B3" s="825"/>
      <c r="C3" s="825"/>
      <c r="D3" s="45" t="s">
        <v>338</v>
      </c>
      <c r="E3" s="47" t="s">
        <v>359</v>
      </c>
      <c r="F3" s="35" t="str">
        <f>IF($E3="Yes",VLOOKUP($D3,Master_Table!$B$3:$I$9,2,TRUE),"N/A")</f>
        <v>N/A</v>
      </c>
      <c r="G3" s="35" t="str">
        <f>IF($E3="Yes",VLOOKUP($D3,Master_Table!$B$3:$I$9,3,TRUE),"N/A")</f>
        <v>N/A</v>
      </c>
      <c r="H3" s="35" t="str">
        <f>IF($E3="Yes",VLOOKUP($D3,Master_Table!$B$3:$I$9,4,TRUE),"N/A")</f>
        <v>N/A</v>
      </c>
      <c r="I3" s="35" t="str">
        <f>IF($E3="Yes",VLOOKUP($D3,Master_Table!$B$3:$I$9,5,TRUE),"N/A")</f>
        <v>N/A</v>
      </c>
      <c r="J3" s="35" t="str">
        <f>IF($E3="Yes",VLOOKUP($D3,Master_Table!$B$3:$I$9,6,TRUE),"N/A")</f>
        <v>N/A</v>
      </c>
      <c r="K3" s="35" t="str">
        <f>IF($E3="Yes",VLOOKUP($D3,Master_Table!$B$3:$I$9,7,TRUE),"N/A")</f>
        <v>N/A</v>
      </c>
      <c r="L3" s="35" t="str">
        <f>IF($E3="Yes",VLOOKUP($D3,Master_Table!$B$3:$I$9,8,TRUE),"N/A")</f>
        <v>N/A</v>
      </c>
    </row>
    <row r="4" spans="1:28" ht="35.25" customHeight="1" x14ac:dyDescent="0.2">
      <c r="A4" s="822"/>
      <c r="B4" s="825"/>
      <c r="C4" s="825"/>
      <c r="D4" s="45" t="s">
        <v>339</v>
      </c>
      <c r="E4" s="47" t="s">
        <v>359</v>
      </c>
      <c r="F4" s="35" t="str">
        <f>IF($E4="Yes",VLOOKUP($D4,Master_Table!$B$3:$I$9,2,TRUE),"N/A")</f>
        <v>N/A</v>
      </c>
      <c r="G4" s="35" t="str">
        <f>IF($E4="Yes",VLOOKUP($D4,Master_Table!$B$3:$I$9,3,TRUE),"N/A")</f>
        <v>N/A</v>
      </c>
      <c r="H4" s="35" t="str">
        <f>IF($E4="Yes",VLOOKUP($D4,Master_Table!$B$3:$I$9,4,TRUE),"N/A")</f>
        <v>N/A</v>
      </c>
      <c r="I4" s="35" t="str">
        <f>IF($E4="Yes",VLOOKUP($D4,Master_Table!$B$3:$I$9,5,TRUE),"N/A")</f>
        <v>N/A</v>
      </c>
      <c r="J4" s="35" t="str">
        <f>IF($E4="Yes",VLOOKUP($D4,Master_Table!$B$3:$I$9,6,TRUE),"N/A")</f>
        <v>N/A</v>
      </c>
      <c r="K4" s="35" t="str">
        <f>IF($E4="Yes",VLOOKUP($D4,Master_Table!$B$3:$I$9,7,TRUE),"N/A")</f>
        <v>N/A</v>
      </c>
      <c r="L4" s="35" t="str">
        <f>IF($E4="Yes",VLOOKUP($D4,Master_Table!$B$3:$I$9,8,TRUE),"N/A")</f>
        <v>N/A</v>
      </c>
    </row>
    <row r="5" spans="1:28" ht="35.25" customHeight="1" x14ac:dyDescent="0.2">
      <c r="A5" s="822"/>
      <c r="B5" s="825"/>
      <c r="C5" s="825"/>
      <c r="D5" s="45" t="s">
        <v>340</v>
      </c>
      <c r="E5" s="47" t="s">
        <v>359</v>
      </c>
      <c r="F5" s="35" t="str">
        <f>IF($E5="Yes",VLOOKUP($D5,Master_Table!$B$3:$I$9,2,TRUE),"N/A")</f>
        <v>N/A</v>
      </c>
      <c r="G5" s="35" t="str">
        <f>IF($E5="Yes",VLOOKUP($D5,Master_Table!$B$3:$I$9,3,TRUE),"N/A")</f>
        <v>N/A</v>
      </c>
      <c r="H5" s="35" t="str">
        <f>IF($E5="Yes",VLOOKUP($D5,Master_Table!$B$3:$I$9,4,TRUE),"N/A")</f>
        <v>N/A</v>
      </c>
      <c r="I5" s="35" t="str">
        <f>IF($E5="Yes",VLOOKUP($D5,Master_Table!$B$3:$I$9,5,TRUE),"N/A")</f>
        <v>N/A</v>
      </c>
      <c r="J5" s="35" t="str">
        <f>IF($E5="Yes",VLOOKUP($D5,Master_Table!$B$3:$I$9,6,TRUE),"N/A")</f>
        <v>N/A</v>
      </c>
      <c r="K5" s="35" t="str">
        <f>IF($E5="Yes",VLOOKUP($D5,Master_Table!$B$3:$I$9,7,TRUE),"N/A")</f>
        <v>N/A</v>
      </c>
      <c r="L5" s="35" t="str">
        <f>IF($E5="Yes",VLOOKUP($D5,Master_Table!$B$3:$I$9,8,TRUE),"N/A")</f>
        <v>N/A</v>
      </c>
    </row>
    <row r="6" spans="1:28" ht="35.25" customHeight="1" x14ac:dyDescent="0.2">
      <c r="A6" s="822"/>
      <c r="B6" s="825"/>
      <c r="C6" s="825"/>
      <c r="D6" s="45" t="s">
        <v>341</v>
      </c>
      <c r="E6" s="47" t="s">
        <v>359</v>
      </c>
      <c r="F6" s="35" t="str">
        <f>IF($E6="Yes",VLOOKUP($D6,Master_Table!$B$3:$I$9,2,TRUE),"N/A")</f>
        <v>N/A</v>
      </c>
      <c r="G6" s="35" t="str">
        <f>IF($E6="Yes",VLOOKUP($D6,Master_Table!$B$3:$I$9,3,TRUE),"N/A")</f>
        <v>N/A</v>
      </c>
      <c r="H6" s="35" t="str">
        <f>IF($E6="Yes",VLOOKUP($D6,Master_Table!$B$3:$I$9,4,TRUE),"N/A")</f>
        <v>N/A</v>
      </c>
      <c r="I6" s="35" t="str">
        <f>IF($E6="Yes",VLOOKUP($D6,Master_Table!$B$3:$I$9,5,TRUE),"N/A")</f>
        <v>N/A</v>
      </c>
      <c r="J6" s="35" t="str">
        <f>IF($E6="Yes",VLOOKUP($D6,Master_Table!$B$3:$I$9,6,TRUE),"N/A")</f>
        <v>N/A</v>
      </c>
      <c r="K6" s="35" t="str">
        <f>IF($E6="Yes",VLOOKUP($D6,Master_Table!$B$3:$I$9,7,TRUE),"N/A")</f>
        <v>N/A</v>
      </c>
      <c r="L6" s="35" t="str">
        <f>IF($E6="Yes",VLOOKUP($D6,Master_Table!$B$3:$I$9,8,TRUE),"N/A")</f>
        <v>N/A</v>
      </c>
    </row>
    <row r="7" spans="1:28" ht="35.25" customHeight="1" x14ac:dyDescent="0.2">
      <c r="A7" s="822"/>
      <c r="B7" s="825"/>
      <c r="C7" s="825"/>
      <c r="D7" s="45" t="s">
        <v>342</v>
      </c>
      <c r="E7" s="47" t="s">
        <v>360</v>
      </c>
      <c r="F7" s="58">
        <f>IF($E7="Yes",VLOOKUP($D7,Master_Table!$B$3:$I$9,2,TRUE),"N/A")</f>
        <v>5.8</v>
      </c>
      <c r="G7" s="58">
        <f>IF($E7="Yes",VLOOKUP($D7,Master_Table!$B$3:$I$9,3,TRUE),"N/A")</f>
        <v>955.12197700150455</v>
      </c>
      <c r="H7" s="58">
        <f>IF($E7="Yes",VLOOKUP($D7,Master_Table!$B$3:$I$9,4,TRUE),"N/A")</f>
        <v>348.02866591505182</v>
      </c>
      <c r="I7" s="58">
        <f>IF($E7="Yes",VLOOKUP($D7,Master_Table!$B$3:$I$9,5,TRUE),"N/A")</f>
        <v>55.517241379310356</v>
      </c>
      <c r="J7" s="58">
        <f>IF($E7="Yes",VLOOKUP($D7,Master_Table!$B$3:$I$9,6,TRUE),"N/A")</f>
        <v>551.57606970714232</v>
      </c>
      <c r="K7" s="58">
        <f>IF($E7="Yes",VLOOKUP($D7,Master_Table!$B$3:$I$9,7,TRUE),"N/A")</f>
        <v>0</v>
      </c>
      <c r="L7" s="58">
        <f>IF($E7="Yes",VLOOKUP($D7,Master_Table!$B$3:$I$9,8,TRUE),"N/A")</f>
        <v>5539.7074666087265</v>
      </c>
    </row>
    <row r="8" spans="1:28" ht="35.25" customHeight="1" x14ac:dyDescent="0.2">
      <c r="A8" s="823"/>
      <c r="B8" s="826"/>
      <c r="C8" s="826"/>
      <c r="D8" s="45" t="s">
        <v>343</v>
      </c>
      <c r="E8" s="47" t="s">
        <v>360</v>
      </c>
      <c r="F8" s="58">
        <f>IF($E8="Yes",VLOOKUP($D8,Master_Table!$B$3:$I$9,2,TRUE),"N/A")</f>
        <v>6.2</v>
      </c>
      <c r="G8" s="58">
        <f>IF($E8="Yes",VLOOKUP($D8,Master_Table!$B$3:$I$9,3,TRUE),"N/A")</f>
        <v>1562.1690689806242</v>
      </c>
      <c r="H8" s="58">
        <f>IF($E8="Yes",VLOOKUP($D8,Master_Table!$B$3:$I$9,4,TRUE),"N/A")</f>
        <v>569.91011575644086</v>
      </c>
      <c r="I8" s="58">
        <f>IF($E8="Yes",VLOOKUP($D8,Master_Table!$B$3:$I$9,5,TRUE),"N/A")</f>
        <v>89.032258064516128</v>
      </c>
      <c r="J8" s="58">
        <f>IF($E8="Yes",VLOOKUP($D8,Master_Table!$B$3:$I$9,6,TRUE),"N/A")</f>
        <v>903.22669515966732</v>
      </c>
      <c r="K8" s="58">
        <f>IF($E8="Yes",VLOOKUP($D8,Master_Table!$B$3:$I$9,7,TRUE),"N/A")</f>
        <v>0</v>
      </c>
      <c r="L8" s="58">
        <f>IF($E8="Yes",VLOOKUP($D8,Master_Table!$B$3:$I$9,8,TRUE),"N/A")</f>
        <v>9685.4482276798699</v>
      </c>
    </row>
    <row r="9" spans="1:28" ht="25.5" customHeight="1" x14ac:dyDescent="0.2">
      <c r="A9" s="7" t="s">
        <v>564</v>
      </c>
      <c r="B9" s="2"/>
      <c r="C9" s="2"/>
    </row>
    <row r="10" spans="1:28" ht="25.5" customHeight="1" x14ac:dyDescent="0.2">
      <c r="A10" s="50" t="s">
        <v>431</v>
      </c>
      <c r="B10" s="2" t="s">
        <v>582</v>
      </c>
      <c r="C10" s="103" t="s">
        <v>446</v>
      </c>
    </row>
    <row r="11" spans="1:28" ht="25.5" customHeight="1" thickBot="1" x14ac:dyDescent="0.25">
      <c r="A11" s="2"/>
      <c r="B11" s="2"/>
      <c r="C11" s="2"/>
    </row>
    <row r="12" spans="1:28" s="62" customFormat="1" ht="64" x14ac:dyDescent="0.2">
      <c r="A12" s="16" t="s">
        <v>361</v>
      </c>
      <c r="B12" s="60" t="s">
        <v>583</v>
      </c>
      <c r="C12" s="59" t="s">
        <v>584</v>
      </c>
      <c r="D12" s="59" t="s">
        <v>585</v>
      </c>
      <c r="E12" s="59" t="s">
        <v>586</v>
      </c>
      <c r="F12" s="59" t="s">
        <v>587</v>
      </c>
      <c r="G12" s="59" t="s">
        <v>588</v>
      </c>
      <c r="H12" s="59" t="s">
        <v>589</v>
      </c>
      <c r="I12" s="59"/>
      <c r="J12" s="59"/>
      <c r="K12" s="59" t="s">
        <v>590</v>
      </c>
      <c r="L12" s="59" t="s">
        <v>591</v>
      </c>
      <c r="M12" s="59" t="s">
        <v>592</v>
      </c>
      <c r="N12" s="59" t="s">
        <v>593</v>
      </c>
      <c r="O12" s="59" t="s">
        <v>594</v>
      </c>
      <c r="P12" s="59" t="s">
        <v>595</v>
      </c>
      <c r="Q12" s="59" t="s">
        <v>596</v>
      </c>
      <c r="R12" s="59" t="s">
        <v>593</v>
      </c>
      <c r="S12" s="59" t="s">
        <v>597</v>
      </c>
      <c r="T12" s="59" t="s">
        <v>598</v>
      </c>
      <c r="U12" s="59" t="s">
        <v>599</v>
      </c>
      <c r="V12" s="59" t="s">
        <v>600</v>
      </c>
      <c r="W12" s="59" t="s">
        <v>601</v>
      </c>
      <c r="X12" s="59" t="s">
        <v>602</v>
      </c>
      <c r="Y12" s="59" t="s">
        <v>603</v>
      </c>
      <c r="Z12" s="59" t="s">
        <v>604</v>
      </c>
      <c r="AA12" s="61" t="s">
        <v>605</v>
      </c>
    </row>
    <row r="13" spans="1:28" s="62" customFormat="1" ht="73.5" customHeight="1" x14ac:dyDescent="0.2">
      <c r="A13" s="16" t="s">
        <v>606</v>
      </c>
      <c r="B13" s="138" t="s">
        <v>397</v>
      </c>
      <c r="C13" s="139" t="s">
        <v>607</v>
      </c>
      <c r="D13" s="139" t="s">
        <v>397</v>
      </c>
      <c r="E13" s="139" t="s">
        <v>397</v>
      </c>
      <c r="F13" s="139" t="s">
        <v>397</v>
      </c>
      <c r="G13" s="139" t="s">
        <v>397</v>
      </c>
      <c r="H13" s="139"/>
      <c r="I13" s="139"/>
      <c r="J13" s="139"/>
      <c r="K13" s="134"/>
      <c r="L13" s="134"/>
      <c r="M13" s="134"/>
      <c r="N13" s="134" t="s">
        <v>398</v>
      </c>
      <c r="O13" s="134" t="s">
        <v>398</v>
      </c>
      <c r="P13" s="134" t="s">
        <v>398</v>
      </c>
      <c r="Q13" s="134" t="s">
        <v>398</v>
      </c>
      <c r="R13" s="134" t="s">
        <v>398</v>
      </c>
      <c r="S13" s="139" t="s">
        <v>397</v>
      </c>
      <c r="T13" s="139" t="s">
        <v>397</v>
      </c>
      <c r="U13" s="139" t="s">
        <v>397</v>
      </c>
      <c r="V13" s="139" t="s">
        <v>397</v>
      </c>
      <c r="W13" s="139" t="s">
        <v>397</v>
      </c>
      <c r="X13" s="139" t="s">
        <v>397</v>
      </c>
      <c r="Y13" s="134" t="s">
        <v>398</v>
      </c>
      <c r="Z13" s="139" t="s">
        <v>608</v>
      </c>
      <c r="AA13" s="67" t="s">
        <v>397</v>
      </c>
      <c r="AB13" s="62" t="s">
        <v>609</v>
      </c>
    </row>
    <row r="14" spans="1:28" s="62" customFormat="1" ht="54" customHeight="1" x14ac:dyDescent="0.2">
      <c r="A14" s="16" t="s">
        <v>610</v>
      </c>
      <c r="B14" s="16" t="s">
        <v>550</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8" ht="16" x14ac:dyDescent="0.2">
      <c r="A15" s="71" t="s">
        <v>74</v>
      </c>
      <c r="B15" s="149">
        <f>1.12941176470588</f>
        <v>1.1294117647058799</v>
      </c>
      <c r="C15" s="75">
        <v>2.7355623100304E-2</v>
      </c>
      <c r="D15" s="73">
        <v>3094</v>
      </c>
      <c r="E15" s="73">
        <v>598</v>
      </c>
      <c r="F15" s="73">
        <v>225</v>
      </c>
      <c r="G15" s="73">
        <v>825</v>
      </c>
      <c r="H15" s="77">
        <f>F15/D15</f>
        <v>7.2721396250808021E-2</v>
      </c>
      <c r="I15" s="77">
        <f>B15*H15</f>
        <v>8.2132400471500638E-2</v>
      </c>
      <c r="J15" s="77">
        <f>I15*C15</f>
        <v>2.2467829916216022E-3</v>
      </c>
      <c r="K15" s="77">
        <f>B15*(E15/D15)*C15*1/5.4</f>
        <v>1.105824056781661E-3</v>
      </c>
      <c r="L15" s="77">
        <f>B15*(F15/D15)*C15*1/5.4</f>
        <v>4.1607092437437077E-4</v>
      </c>
      <c r="M15" s="77">
        <f>B15*(G15/D15)*C15*1/5.4</f>
        <v>1.5255933893726925E-3</v>
      </c>
      <c r="N15" s="140">
        <f>K15+L15+M15</f>
        <v>3.0474883705287241E-3</v>
      </c>
      <c r="O15" s="77">
        <f>0.006/5.4</f>
        <v>1.1111111111111111E-3</v>
      </c>
      <c r="P15" s="77">
        <f>0.002/5.4</f>
        <v>3.7037037037037035E-4</v>
      </c>
      <c r="Q15" s="77">
        <f>0.008/5.4</f>
        <v>1.4814814814814814E-3</v>
      </c>
      <c r="R15" s="140">
        <f>SUM(O15:Q15)</f>
        <v>2.9629629629629628E-3</v>
      </c>
      <c r="S15" s="141">
        <v>0</v>
      </c>
      <c r="T15" s="161">
        <v>0.9558149225</v>
      </c>
      <c r="U15" s="145">
        <v>0</v>
      </c>
      <c r="V15" s="73">
        <v>0.53400000000000003</v>
      </c>
      <c r="W15" s="145">
        <v>0</v>
      </c>
      <c r="X15" s="73">
        <v>2.161</v>
      </c>
      <c r="Y15" s="163">
        <f>SUM(S15:X15)</f>
        <v>3.6508149224999999</v>
      </c>
      <c r="Z15" s="76">
        <v>25</v>
      </c>
      <c r="AA15" s="78"/>
    </row>
    <row r="16" spans="1:28" ht="16" x14ac:dyDescent="0.2">
      <c r="A16" s="71" t="s">
        <v>76</v>
      </c>
      <c r="B16" s="72">
        <f>1.27058823529412</f>
        <v>1.27058823529412</v>
      </c>
      <c r="C16" s="75">
        <v>3.3700000000000001E-2</v>
      </c>
      <c r="D16" s="73">
        <v>5237</v>
      </c>
      <c r="E16" s="73">
        <v>1463</v>
      </c>
      <c r="F16" s="73">
        <v>2025</v>
      </c>
      <c r="G16" s="73">
        <v>825</v>
      </c>
      <c r="H16" s="73"/>
      <c r="I16" s="73"/>
      <c r="J16" s="73"/>
      <c r="K16" s="73"/>
      <c r="L16" s="73"/>
      <c r="M16" s="73"/>
      <c r="N16" s="77">
        <f>0.012/7.2</f>
        <v>1.6666666666666666E-3</v>
      </c>
      <c r="O16" s="77">
        <f>0.012/7.2</f>
        <v>1.6666666666666666E-3</v>
      </c>
      <c r="P16" s="77">
        <f>0.017/7.2</f>
        <v>2.3611111111111111E-3</v>
      </c>
      <c r="Q16" s="77">
        <f>0.007/7.2</f>
        <v>9.7222222222222219E-4</v>
      </c>
      <c r="R16" s="140">
        <f>SUM(O16:Q16)</f>
        <v>5.0000000000000001E-3</v>
      </c>
      <c r="S16" s="141">
        <v>0</v>
      </c>
      <c r="T16" s="145">
        <v>2.343</v>
      </c>
      <c r="U16" s="145">
        <v>0</v>
      </c>
      <c r="V16" s="73">
        <v>4.8090000000000002</v>
      </c>
      <c r="W16" s="145">
        <v>0</v>
      </c>
      <c r="X16" s="73">
        <v>2.161</v>
      </c>
      <c r="Y16" s="163">
        <f>SUM(T16:X16)</f>
        <v>9.3130000000000006</v>
      </c>
      <c r="Z16" s="76">
        <v>25</v>
      </c>
      <c r="AA16" s="78"/>
    </row>
    <row r="17" spans="1:27" ht="16" x14ac:dyDescent="0.2">
      <c r="A17" s="71" t="s">
        <v>363</v>
      </c>
      <c r="B17" s="72">
        <v>0</v>
      </c>
      <c r="C17" s="73">
        <v>0</v>
      </c>
      <c r="D17" s="73"/>
      <c r="E17" s="73"/>
      <c r="F17" s="73"/>
      <c r="G17" s="73"/>
      <c r="H17" s="73"/>
      <c r="I17" s="73"/>
      <c r="J17" s="73"/>
      <c r="K17" s="73"/>
      <c r="L17" s="73"/>
      <c r="M17" s="73"/>
      <c r="N17" s="73"/>
      <c r="O17" s="73"/>
      <c r="P17" s="73" t="e">
        <f>B17*(F17/D17)*C17</f>
        <v>#DIV/0!</v>
      </c>
      <c r="Q17" s="73" t="e">
        <f>B17*(G17/D17)*C17</f>
        <v>#DIV/0!</v>
      </c>
      <c r="R17" s="73"/>
      <c r="S17" s="73"/>
      <c r="T17" s="73"/>
      <c r="U17" s="73"/>
      <c r="V17" s="73"/>
      <c r="W17" s="73"/>
      <c r="X17" s="73"/>
      <c r="Y17" s="163"/>
      <c r="Z17" s="76"/>
      <c r="AA17" s="78"/>
    </row>
    <row r="18" spans="1:27" ht="17" thickBot="1" x14ac:dyDescent="0.25">
      <c r="A18" s="71" t="s">
        <v>364</v>
      </c>
      <c r="B18" s="72">
        <f>SUM(B15:B17)</f>
        <v>2.4</v>
      </c>
      <c r="C18" s="73">
        <f>SUM(C15:C17)</f>
        <v>6.1055623100304005E-2</v>
      </c>
      <c r="D18" s="73"/>
      <c r="E18" s="73">
        <f>SUM(E15:E16)</f>
        <v>2061</v>
      </c>
      <c r="F18" s="73">
        <f>SUM(F15:F16)</f>
        <v>2250</v>
      </c>
      <c r="G18" s="73">
        <f>SUM(G15:G16)</f>
        <v>1650</v>
      </c>
      <c r="H18" s="73"/>
      <c r="I18" s="73"/>
      <c r="J18" s="73"/>
      <c r="K18" s="73"/>
      <c r="L18" s="73"/>
      <c r="M18" s="73"/>
      <c r="N18" s="73"/>
      <c r="O18" s="73"/>
      <c r="P18" s="73"/>
      <c r="Q18" s="73"/>
      <c r="R18" s="73"/>
      <c r="S18" s="73"/>
      <c r="T18" s="73"/>
      <c r="U18" s="73"/>
      <c r="V18" s="73"/>
      <c r="W18" s="73"/>
      <c r="X18" s="73"/>
      <c r="Y18" s="163">
        <f>SUM(Y15:Y16)</f>
        <v>12.963814922500001</v>
      </c>
      <c r="Z18" s="76"/>
      <c r="AA18" s="110"/>
    </row>
    <row r="20" spans="1:27" ht="33" thickTop="1" x14ac:dyDescent="0.2">
      <c r="A20" s="16" t="s">
        <v>365</v>
      </c>
      <c r="B20" s="81" t="s">
        <v>366</v>
      </c>
      <c r="C20" s="82" t="s">
        <v>367</v>
      </c>
      <c r="D20" s="82" t="s">
        <v>368</v>
      </c>
      <c r="E20" s="82" t="s">
        <v>369</v>
      </c>
      <c r="F20" s="82" t="s">
        <v>370</v>
      </c>
      <c r="G20" s="82" t="s">
        <v>371</v>
      </c>
      <c r="H20" s="82" t="s">
        <v>611</v>
      </c>
      <c r="I20" s="83" t="s">
        <v>372</v>
      </c>
      <c r="J20" s="83" t="s">
        <v>612</v>
      </c>
      <c r="K20" s="83" t="s">
        <v>613</v>
      </c>
      <c r="L20" s="83" t="s">
        <v>614</v>
      </c>
      <c r="M20" s="83" t="s">
        <v>615</v>
      </c>
    </row>
    <row r="21" spans="1:27" ht="16" x14ac:dyDescent="0.2">
      <c r="A21" s="71" t="s">
        <v>74</v>
      </c>
      <c r="B21" s="148">
        <f>N15</f>
        <v>3.0474883705287241E-3</v>
      </c>
      <c r="C21" s="85">
        <f>F8*(1-B21)</f>
        <v>6.1811055721027222</v>
      </c>
      <c r="D21" s="86">
        <v>0</v>
      </c>
      <c r="E21" s="85">
        <f>1421*(1-D21)</f>
        <v>1421</v>
      </c>
      <c r="F21" s="87">
        <v>0</v>
      </c>
      <c r="G21" s="87">
        <v>0</v>
      </c>
      <c r="H21" s="142">
        <f>Y15</f>
        <v>3.6508149224999999</v>
      </c>
      <c r="I21" s="48">
        <f>Z15</f>
        <v>25</v>
      </c>
      <c r="J21" s="159">
        <f>ABS(B21*5.4*1421)</f>
        <v>23.384597262415113</v>
      </c>
      <c r="K21" s="159">
        <f>IFERROR(J21+I33,"-")</f>
        <v>23.384597262415113</v>
      </c>
      <c r="L21" s="159">
        <f>PV('Master Inputs '!Benefit_Discount_Factor,CheckHotLineClamps!I21,-1)</f>
        <v>17.413147691278009</v>
      </c>
      <c r="M21" s="150">
        <f>IFERROR(L21*K21/H21,"-")</f>
        <v>111.53658963151392</v>
      </c>
      <c r="O21" s="143"/>
    </row>
    <row r="22" spans="1:27" ht="16" x14ac:dyDescent="0.2">
      <c r="A22" s="71" t="s">
        <v>76</v>
      </c>
      <c r="B22" s="148">
        <f>R16</f>
        <v>5.0000000000000001E-3</v>
      </c>
      <c r="C22" s="85">
        <f>F7*(1-B22)</f>
        <v>5.7709999999999999</v>
      </c>
      <c r="D22" s="86">
        <v>0</v>
      </c>
      <c r="E22" s="85"/>
      <c r="F22" s="87">
        <v>0</v>
      </c>
      <c r="G22" s="87">
        <v>0</v>
      </c>
      <c r="H22" s="142">
        <f>Y16</f>
        <v>9.3130000000000006</v>
      </c>
      <c r="I22" s="48">
        <f>Z16</f>
        <v>25</v>
      </c>
      <c r="J22" s="159">
        <f>ABS(B22*7.2*642.5655143)</f>
        <v>23.132358514800003</v>
      </c>
      <c r="K22" s="159">
        <f>IFERROR(J22+I34,"-")</f>
        <v>23.132358514800003</v>
      </c>
      <c r="L22" s="159">
        <f>PV('Master Inputs '!Benefit_Discount_Factor,CheckHotLineClamps!I22,-1)</f>
        <v>17.413147691278009</v>
      </c>
      <c r="M22" s="150">
        <f>IFERROR(L22*K22/H22,"-")</f>
        <v>43.252139510985167</v>
      </c>
    </row>
    <row r="23" spans="1:27" ht="16" x14ac:dyDescent="0.2">
      <c r="A23" s="71" t="s">
        <v>363</v>
      </c>
      <c r="B23" s="89"/>
      <c r="C23" s="90"/>
      <c r="D23" s="90"/>
      <c r="E23" s="90"/>
      <c r="F23" s="90"/>
      <c r="G23" s="90"/>
      <c r="H23" s="90"/>
      <c r="I23" s="91"/>
      <c r="J23" s="131"/>
      <c r="K23" s="131"/>
      <c r="L23" s="131"/>
      <c r="M23" s="91"/>
    </row>
    <row r="24" spans="1:27" ht="17" thickBot="1" x14ac:dyDescent="0.25">
      <c r="A24" s="71" t="s">
        <v>364</v>
      </c>
      <c r="B24" s="92"/>
      <c r="C24" s="93"/>
      <c r="D24" s="93"/>
      <c r="E24" s="93"/>
      <c r="F24" s="93"/>
      <c r="G24" s="93"/>
      <c r="H24" s="93"/>
      <c r="I24" s="94"/>
      <c r="J24" s="162"/>
      <c r="K24" s="162"/>
      <c r="L24" s="162"/>
      <c r="M24" s="94"/>
    </row>
    <row r="25" spans="1:27" ht="16" thickTop="1" x14ac:dyDescent="0.2">
      <c r="A25" s="63"/>
      <c r="D25" s="63"/>
      <c r="E25" s="63"/>
      <c r="F25" s="63"/>
    </row>
    <row r="26" spans="1:27" x14ac:dyDescent="0.2">
      <c r="A26" s="63"/>
      <c r="D26" s="63"/>
      <c r="E26" s="63"/>
      <c r="F26" s="63"/>
    </row>
    <row r="27" spans="1:27" ht="30" customHeight="1" x14ac:dyDescent="0.2">
      <c r="A27" s="16" t="s">
        <v>373</v>
      </c>
      <c r="B27" s="60" t="s">
        <v>362</v>
      </c>
      <c r="C27" s="59" t="s">
        <v>362</v>
      </c>
      <c r="D27" s="59" t="s">
        <v>362</v>
      </c>
      <c r="E27" s="59" t="s">
        <v>362</v>
      </c>
      <c r="F27" s="59" t="s">
        <v>362</v>
      </c>
      <c r="G27" s="59" t="s">
        <v>362</v>
      </c>
      <c r="H27" s="59" t="s">
        <v>362</v>
      </c>
      <c r="I27" s="59" t="s">
        <v>362</v>
      </c>
      <c r="J27" s="59" t="s">
        <v>362</v>
      </c>
      <c r="K27" s="59" t="s">
        <v>362</v>
      </c>
    </row>
    <row r="28" spans="1:27" ht="16" x14ac:dyDescent="0.2">
      <c r="A28" s="71" t="s">
        <v>74</v>
      </c>
      <c r="B28" s="89"/>
      <c r="C28" s="89"/>
      <c r="D28" s="89"/>
      <c r="E28" s="89"/>
      <c r="F28" s="89"/>
      <c r="G28" s="89"/>
      <c r="H28" s="89"/>
      <c r="I28" s="89"/>
      <c r="J28" s="89"/>
      <c r="K28" s="89"/>
    </row>
    <row r="29" spans="1:27" ht="16" x14ac:dyDescent="0.2">
      <c r="A29" s="71" t="s">
        <v>76</v>
      </c>
      <c r="B29" s="89"/>
      <c r="C29" s="89"/>
      <c r="D29" s="89"/>
      <c r="E29" s="89"/>
      <c r="F29" s="89"/>
      <c r="G29" s="89"/>
      <c r="H29" s="89"/>
      <c r="I29" s="89"/>
      <c r="J29" s="89"/>
      <c r="K29" s="89"/>
    </row>
    <row r="30" spans="1:27" s="62" customFormat="1" ht="16" x14ac:dyDescent="0.2">
      <c r="A30" s="71" t="s">
        <v>364</v>
      </c>
      <c r="B30" s="89"/>
      <c r="C30" s="89"/>
      <c r="D30" s="89"/>
      <c r="E30" s="89"/>
      <c r="F30" s="89"/>
      <c r="G30" s="89"/>
      <c r="H30" s="89"/>
      <c r="I30" s="89"/>
      <c r="J30" s="89"/>
      <c r="K30" s="89"/>
    </row>
    <row r="31" spans="1:27" s="62" customFormat="1" ht="16" thickBot="1" x14ac:dyDescent="0.25">
      <c r="A31" s="820"/>
      <c r="B31" s="820"/>
      <c r="C31" s="820"/>
      <c r="D31" s="63"/>
      <c r="E31" s="63"/>
    </row>
    <row r="32" spans="1:27" s="62" customFormat="1" ht="33" thickTop="1" x14ac:dyDescent="0.2">
      <c r="A32" s="16" t="s">
        <v>399</v>
      </c>
      <c r="B32" s="81" t="s">
        <v>366</v>
      </c>
      <c r="C32" s="82" t="s">
        <v>367</v>
      </c>
      <c r="D32" s="82" t="s">
        <v>368</v>
      </c>
      <c r="E32" s="82" t="s">
        <v>369</v>
      </c>
      <c r="F32" s="82" t="s">
        <v>370</v>
      </c>
      <c r="G32" s="82" t="s">
        <v>371</v>
      </c>
      <c r="H32" s="83" t="s">
        <v>372</v>
      </c>
      <c r="I32" s="83" t="s">
        <v>616</v>
      </c>
      <c r="J32" s="63"/>
    </row>
    <row r="33" spans="1:11" s="62" customFormat="1" ht="16" x14ac:dyDescent="0.2">
      <c r="A33" s="71" t="s">
        <v>74</v>
      </c>
      <c r="B33" s="144">
        <v>0</v>
      </c>
      <c r="C33" s="90"/>
      <c r="D33" s="90"/>
      <c r="E33" s="90"/>
      <c r="F33" s="87">
        <v>1501</v>
      </c>
      <c r="G33" s="87">
        <v>3002</v>
      </c>
      <c r="H33" s="91">
        <v>25</v>
      </c>
      <c r="I33" s="91">
        <v>0</v>
      </c>
      <c r="J33" s="63"/>
    </row>
    <row r="34" spans="1:11" s="62" customFormat="1" ht="16" x14ac:dyDescent="0.2">
      <c r="A34" s="71" t="s">
        <v>76</v>
      </c>
      <c r="B34" s="89"/>
      <c r="C34" s="90"/>
      <c r="D34" s="90"/>
      <c r="E34" s="90"/>
      <c r="F34" s="90"/>
      <c r="G34" s="90"/>
      <c r="H34" s="91"/>
      <c r="I34" s="91"/>
    </row>
    <row r="35" spans="1:11" s="62" customFormat="1" ht="17" thickBot="1" x14ac:dyDescent="0.25">
      <c r="A35" s="71" t="s">
        <v>364</v>
      </c>
      <c r="B35" s="92"/>
      <c r="C35" s="93"/>
      <c r="D35" s="93"/>
      <c r="E35" s="93"/>
      <c r="F35" s="93"/>
      <c r="G35" s="93"/>
      <c r="H35" s="94"/>
      <c r="I35" s="94"/>
    </row>
    <row r="36" spans="1:11" s="62" customFormat="1" ht="16" thickTop="1" x14ac:dyDescent="0.2">
      <c r="A36" s="112"/>
      <c r="B36" s="112"/>
      <c r="C36" s="104"/>
      <c r="D36" s="105"/>
    </row>
    <row r="37" spans="1:11" s="62" customFormat="1" x14ac:dyDescent="0.2">
      <c r="A37" s="685"/>
      <c r="B37" s="685"/>
    </row>
    <row r="38" spans="1:11" s="62" customFormat="1" x14ac:dyDescent="0.2">
      <c r="A38" s="685"/>
      <c r="B38" s="685"/>
    </row>
    <row r="39" spans="1:11" s="62" customFormat="1" x14ac:dyDescent="0.2">
      <c r="A39" s="685"/>
      <c r="B39" s="685"/>
    </row>
    <row r="40" spans="1:11" s="62" customFormat="1" x14ac:dyDescent="0.2">
      <c r="A40" s="113"/>
      <c r="B40" s="113"/>
      <c r="C40" s="113"/>
      <c r="F40" s="113"/>
      <c r="G40" s="113"/>
      <c r="K40" s="112"/>
    </row>
    <row r="41" spans="1:11" s="62" customFormat="1" x14ac:dyDescent="0.2">
      <c r="A41" s="686"/>
      <c r="B41" s="686"/>
      <c r="F41" s="686"/>
      <c r="K41" s="686"/>
    </row>
    <row r="42" spans="1:11" s="62" customFormat="1" x14ac:dyDescent="0.2">
      <c r="A42" s="686"/>
      <c r="B42" s="686"/>
      <c r="F42" s="686"/>
      <c r="K42" s="686"/>
    </row>
    <row r="43" spans="1:11" s="62" customFormat="1" x14ac:dyDescent="0.2">
      <c r="A43" s="686"/>
      <c r="B43" s="686"/>
      <c r="C43" s="107"/>
      <c r="F43" s="686"/>
      <c r="G43" s="107"/>
      <c r="K43" s="686"/>
    </row>
    <row r="44" spans="1:11" s="62" customFormat="1" x14ac:dyDescent="0.2">
      <c r="A44" s="686"/>
      <c r="B44" s="686"/>
      <c r="F44" s="686"/>
      <c r="K44" s="686"/>
    </row>
    <row r="45" spans="1:11" s="62" customFormat="1" x14ac:dyDescent="0.2">
      <c r="A45" s="685"/>
      <c r="B45" s="685"/>
    </row>
    <row r="46" spans="1:11" s="62" customFormat="1" x14ac:dyDescent="0.2">
      <c r="A46" s="685"/>
      <c r="B46" s="685"/>
      <c r="C46" s="114"/>
      <c r="D46" s="115"/>
      <c r="E46" s="114"/>
      <c r="F46" s="114"/>
    </row>
    <row r="47" spans="1:11" s="62" customFormat="1" x14ac:dyDescent="0.2"/>
    <row r="48" spans="1:11" s="62" customFormat="1" x14ac:dyDescent="0.2"/>
    <row r="50" s="62" customFormat="1" x14ac:dyDescent="0.2"/>
  </sheetData>
  <mergeCells count="4">
    <mergeCell ref="A2:A8"/>
    <mergeCell ref="B2:B8"/>
    <mergeCell ref="C2:C8"/>
    <mergeCell ref="A31:C31"/>
  </mergeCells>
  <dataValidations disablePrompts="1" count="1">
    <dataValidation type="list" allowBlank="1" showInputMessage="1" showErrorMessage="1" sqref="E2:E8" xr:uid="{DEF379C4-C00D-4532-BDD1-6403953C9763}">
      <formula1>Answer</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97B8B-510B-43B5-9189-398549F3C1EC}">
  <sheetPr>
    <tabColor rgb="FFFF0000"/>
  </sheetPr>
  <dimension ref="A1:N50"/>
  <sheetViews>
    <sheetView workbookViewId="0"/>
  </sheetViews>
  <sheetFormatPr baseColWidth="10" defaultColWidth="8.83203125" defaultRowHeight="15" x14ac:dyDescent="0.2"/>
  <cols>
    <col min="1" max="1" width="20.6640625" style="1" customWidth="1"/>
    <col min="2" max="11" width="15.6640625" style="1" customWidth="1"/>
    <col min="12" max="13" width="14.6640625" customWidth="1"/>
    <col min="14" max="14" width="18.6640625" customWidth="1"/>
    <col min="15" max="20" width="14.6640625" customWidth="1"/>
  </cols>
  <sheetData>
    <row r="1" spans="1:13" ht="32" x14ac:dyDescent="0.2">
      <c r="A1" s="32" t="s">
        <v>344</v>
      </c>
      <c r="B1" s="33" t="s">
        <v>345</v>
      </c>
      <c r="C1" s="33" t="s">
        <v>346</v>
      </c>
      <c r="D1" s="33" t="s">
        <v>347</v>
      </c>
      <c r="E1" s="33" t="s">
        <v>348</v>
      </c>
      <c r="F1" s="33" t="s">
        <v>349</v>
      </c>
      <c r="G1" s="33" t="s">
        <v>350</v>
      </c>
      <c r="H1" s="33" t="s">
        <v>351</v>
      </c>
      <c r="I1" s="33" t="s">
        <v>352</v>
      </c>
      <c r="J1" s="33" t="s">
        <v>353</v>
      </c>
      <c r="K1" s="34" t="s">
        <v>354</v>
      </c>
      <c r="L1" s="33" t="s">
        <v>355</v>
      </c>
    </row>
    <row r="2" spans="1:13" ht="35.25" customHeight="1" x14ac:dyDescent="0.2">
      <c r="A2" s="810" t="s">
        <v>617</v>
      </c>
      <c r="B2" s="813" t="s">
        <v>618</v>
      </c>
      <c r="C2" s="813" t="s">
        <v>619</v>
      </c>
      <c r="D2" s="44" t="s">
        <v>337</v>
      </c>
      <c r="E2" s="46" t="s">
        <v>359</v>
      </c>
      <c r="F2" s="35" t="str">
        <f>IF($E2="Yes",VLOOKUP($D2,Master_Table!$B$3:$I$9,2,TRUE),"N/A")</f>
        <v>N/A</v>
      </c>
      <c r="G2" s="35" t="str">
        <f>IF($E2="Yes",VLOOKUP($D2,Master_Table!$B$3:$I$9,3,TRUE),"N/A")</f>
        <v>N/A</v>
      </c>
      <c r="H2" s="35" t="str">
        <f>IF($E2="Yes",VLOOKUP($D2,Master_Table!$B$3:$I$9,4,TRUE),"N/A")</f>
        <v>N/A</v>
      </c>
      <c r="I2" s="35" t="str">
        <f>IF($E2="Yes",VLOOKUP($D2,Master_Table!$B$3:$I$9,5,TRUE),"N/A")</f>
        <v>N/A</v>
      </c>
      <c r="J2" s="35" t="str">
        <f>IF($E2="Yes",VLOOKUP($D2,Master_Table!$B$3:$I$9,6,TRUE),"N/A")</f>
        <v>N/A</v>
      </c>
      <c r="K2" s="35" t="str">
        <f>IF($E2="Yes",VLOOKUP($D2,Master_Table!$B$3:$I$9,7,TRUE),"N/A")</f>
        <v>N/A</v>
      </c>
      <c r="L2" s="35" t="str">
        <f>IF($E2="Yes",VLOOKUP($D2,Master_Table!$B$3:$I$9,8,TRUE),"N/A")</f>
        <v>N/A</v>
      </c>
    </row>
    <row r="3" spans="1:13" ht="35.25" customHeight="1" x14ac:dyDescent="0.2">
      <c r="A3" s="811"/>
      <c r="B3" s="814"/>
      <c r="C3" s="814"/>
      <c r="D3" s="45" t="s">
        <v>338</v>
      </c>
      <c r="E3" s="46" t="s">
        <v>360</v>
      </c>
      <c r="F3" s="35">
        <f>IF($E3="Yes",VLOOKUP($D3,Master_Table!$B$3:$I$9,2,TRUE),"N/A")</f>
        <v>4</v>
      </c>
      <c r="G3" s="35">
        <f>IF($E3="Yes",VLOOKUP($D3,Master_Table!$B$3:$I$9,3,TRUE),"N/A")</f>
        <v>438.48392331098103</v>
      </c>
      <c r="H3" s="35">
        <f>IF($E3="Yes",VLOOKUP($D3,Master_Table!$B$3:$I$9,4,TRUE),"N/A")</f>
        <v>3.9986843109810399</v>
      </c>
      <c r="I3" s="35">
        <f>IF($E3="Yes",VLOOKUP($D3,Master_Table!$B$3:$I$9,5,TRUE),"N/A")</f>
        <v>246.28687500000001</v>
      </c>
      <c r="J3" s="35">
        <f>IF($E3="Yes",VLOOKUP($D3,Master_Table!$B$3:$I$9,6,TRUE),"N/A")</f>
        <v>188.198364</v>
      </c>
      <c r="K3" s="35">
        <f>IF($E3="Yes",VLOOKUP($D3,Master_Table!$B$3:$I$9,7,TRUE),"N/A")</f>
        <v>0</v>
      </c>
      <c r="L3" s="35">
        <f>IF($E3="Yes",VLOOKUP($D3,Master_Table!$B$3:$I$9,8,TRUE),"N/A")</f>
        <v>1753.9356932439241</v>
      </c>
    </row>
    <row r="4" spans="1:13" ht="35.25" customHeight="1" x14ac:dyDescent="0.2">
      <c r="A4" s="811"/>
      <c r="B4" s="814"/>
      <c r="C4" s="814"/>
      <c r="D4" s="45" t="s">
        <v>339</v>
      </c>
      <c r="E4" s="46" t="s">
        <v>360</v>
      </c>
      <c r="F4" s="35">
        <f>IF($E4="Yes",VLOOKUP($D4,Master_Table!$B$3:$I$9,2,TRUE),"N/A")</f>
        <v>4</v>
      </c>
      <c r="G4" s="35">
        <f>IF($E4="Yes",VLOOKUP($D4,Master_Table!$B$3:$I$9,3,TRUE),"N/A")</f>
        <v>991.02977939228913</v>
      </c>
      <c r="H4" s="35">
        <f>IF($E4="Yes",VLOOKUP($D4,Master_Table!$B$3:$I$9,4,TRUE),"N/A")</f>
        <v>9.3302633922890941</v>
      </c>
      <c r="I4" s="35">
        <f>IF($E4="Yes",VLOOKUP($D4,Master_Table!$B$3:$I$9,5,TRUE),"N/A")</f>
        <v>542.57000000000005</v>
      </c>
      <c r="J4" s="35">
        <f>IF($E4="Yes",VLOOKUP($D4,Master_Table!$B$3:$I$9,6,TRUE),"N/A")</f>
        <v>439.12951600000002</v>
      </c>
      <c r="K4" s="35">
        <f>IF($E4="Yes",VLOOKUP($D4,Master_Table!$B$3:$I$9,7,TRUE),"N/A")</f>
        <v>0</v>
      </c>
      <c r="L4" s="35">
        <f>IF($E4="Yes",VLOOKUP($D4,Master_Table!$B$3:$I$9,8,TRUE),"N/A")</f>
        <v>3964.1191175691565</v>
      </c>
    </row>
    <row r="5" spans="1:13" ht="35.25" customHeight="1" x14ac:dyDescent="0.2">
      <c r="A5" s="811"/>
      <c r="B5" s="814"/>
      <c r="C5" s="814"/>
      <c r="D5" s="45" t="s">
        <v>340</v>
      </c>
      <c r="E5" s="46" t="s">
        <v>359</v>
      </c>
      <c r="F5" s="35" t="str">
        <f>IF($E5="Yes",VLOOKUP($D5,Master_Table!$B$3:$I$9,2,TRUE),"N/A")</f>
        <v>N/A</v>
      </c>
      <c r="G5" s="35" t="str">
        <f>IF($E5="Yes",VLOOKUP($D5,Master_Table!$B$3:$I$9,3,TRUE),"N/A")</f>
        <v>N/A</v>
      </c>
      <c r="H5" s="35" t="str">
        <f>IF($E5="Yes",VLOOKUP($D5,Master_Table!$B$3:$I$9,4,TRUE),"N/A")</f>
        <v>N/A</v>
      </c>
      <c r="I5" s="35" t="str">
        <f>IF($E5="Yes",VLOOKUP($D5,Master_Table!$B$3:$I$9,5,TRUE),"N/A")</f>
        <v>N/A</v>
      </c>
      <c r="J5" s="35" t="str">
        <f>IF($E5="Yes",VLOOKUP($D5,Master_Table!$B$3:$I$9,6,TRUE),"N/A")</f>
        <v>N/A</v>
      </c>
      <c r="K5" s="35" t="str">
        <f>IF($E5="Yes",VLOOKUP($D5,Master_Table!$B$3:$I$9,7,TRUE),"N/A")</f>
        <v>N/A</v>
      </c>
      <c r="L5" s="35" t="str">
        <f>IF($E5="Yes",VLOOKUP($D5,Master_Table!$B$3:$I$9,8,TRUE),"N/A")</f>
        <v>N/A</v>
      </c>
    </row>
    <row r="6" spans="1:13" ht="35.25" customHeight="1" x14ac:dyDescent="0.2">
      <c r="A6" s="811"/>
      <c r="B6" s="814"/>
      <c r="C6" s="814"/>
      <c r="D6" s="45" t="s">
        <v>341</v>
      </c>
      <c r="E6" s="46" t="s">
        <v>359</v>
      </c>
      <c r="F6" s="35" t="str">
        <f>IF($E6="Yes",VLOOKUP($D6,Master_Table!$B$3:$I$9,2,TRUE),"N/A")</f>
        <v>N/A</v>
      </c>
      <c r="G6" s="35" t="str">
        <f>IF($E6="Yes",VLOOKUP($D6,Master_Table!$B$3:$I$9,3,TRUE),"N/A")</f>
        <v>N/A</v>
      </c>
      <c r="H6" s="35" t="str">
        <f>IF($E6="Yes",VLOOKUP($D6,Master_Table!$B$3:$I$9,4,TRUE),"N/A")</f>
        <v>N/A</v>
      </c>
      <c r="I6" s="35" t="str">
        <f>IF($E6="Yes",VLOOKUP($D6,Master_Table!$B$3:$I$9,5,TRUE),"N/A")</f>
        <v>N/A</v>
      </c>
      <c r="J6" s="35" t="str">
        <f>IF($E6="Yes",VLOOKUP($D6,Master_Table!$B$3:$I$9,6,TRUE),"N/A")</f>
        <v>N/A</v>
      </c>
      <c r="K6" s="35" t="str">
        <f>IF($E6="Yes",VLOOKUP($D6,Master_Table!$B$3:$I$9,7,TRUE),"N/A")</f>
        <v>N/A</v>
      </c>
      <c r="L6" s="35" t="str">
        <f>IF($E6="Yes",VLOOKUP($D6,Master_Table!$B$3:$I$9,8,TRUE),"N/A")</f>
        <v>N/A</v>
      </c>
    </row>
    <row r="7" spans="1:13" ht="35.25" customHeight="1" x14ac:dyDescent="0.2">
      <c r="A7" s="811"/>
      <c r="B7" s="814"/>
      <c r="C7" s="814"/>
      <c r="D7" s="45" t="s">
        <v>342</v>
      </c>
      <c r="E7" s="46" t="s">
        <v>359</v>
      </c>
      <c r="F7" s="35" t="str">
        <f>IF($E7="Yes",VLOOKUP($D7,Master_Table!$B$3:$I$9,2,TRUE),"N/A")</f>
        <v>N/A</v>
      </c>
      <c r="G7" s="35" t="str">
        <f>IF($E7="Yes",VLOOKUP($D7,Master_Table!$B$3:$I$9,3,TRUE),"N/A")</f>
        <v>N/A</v>
      </c>
      <c r="H7" s="35" t="str">
        <f>IF($E7="Yes",VLOOKUP($D7,Master_Table!$B$3:$I$9,4,TRUE),"N/A")</f>
        <v>N/A</v>
      </c>
      <c r="I7" s="35" t="str">
        <f>IF($E7="Yes",VLOOKUP($D7,Master_Table!$B$3:$I$9,5,TRUE),"N/A")</f>
        <v>N/A</v>
      </c>
      <c r="J7" s="35" t="str">
        <f>IF($E7="Yes",VLOOKUP($D7,Master_Table!$B$3:$I$9,6,TRUE),"N/A")</f>
        <v>N/A</v>
      </c>
      <c r="K7" s="35" t="str">
        <f>IF($E7="Yes",VLOOKUP($D7,Master_Table!$B$3:$I$9,7,TRUE),"N/A")</f>
        <v>N/A</v>
      </c>
      <c r="L7" s="35" t="str">
        <f>IF($E7="Yes",VLOOKUP($D7,Master_Table!$B$3:$I$9,8,TRUE),"N/A")</f>
        <v>N/A</v>
      </c>
    </row>
    <row r="8" spans="1:13" ht="35.25" customHeight="1" x14ac:dyDescent="0.2">
      <c r="A8" s="812"/>
      <c r="B8" s="815"/>
      <c r="C8" s="815"/>
      <c r="D8" s="45" t="s">
        <v>343</v>
      </c>
      <c r="E8" s="46" t="s">
        <v>359</v>
      </c>
      <c r="F8" s="35" t="str">
        <f>IF($E8="Yes",VLOOKUP($D8,Master_Table!$B$3:$I$9,2,TRUE),"N/A")</f>
        <v>N/A</v>
      </c>
      <c r="G8" s="35" t="str">
        <f>IF($E8="Yes",VLOOKUP($D8,Master_Table!$B$3:$I$9,3,TRUE),"N/A")</f>
        <v>N/A</v>
      </c>
      <c r="H8" s="35" t="str">
        <f>IF($E8="Yes",VLOOKUP($D8,Master_Table!$B$3:$I$9,4,TRUE),"N/A")</f>
        <v>N/A</v>
      </c>
      <c r="I8" s="35" t="str">
        <f>IF($E8="Yes",VLOOKUP($D8,Master_Table!$B$3:$I$9,5,TRUE),"N/A")</f>
        <v>N/A</v>
      </c>
      <c r="J8" s="35" t="str">
        <f>IF($E8="Yes",VLOOKUP($D8,Master_Table!$B$3:$I$9,6,TRUE),"N/A")</f>
        <v>N/A</v>
      </c>
      <c r="K8" s="35" t="str">
        <f>IF($E8="Yes",VLOOKUP($D8,Master_Table!$B$3:$I$9,7,TRUE),"N/A")</f>
        <v>N/A</v>
      </c>
      <c r="L8" s="35" t="str">
        <f>IF($E8="Yes",VLOOKUP($D8,Master_Table!$B$3:$I$9,8,TRUE),"N/A")</f>
        <v>N/A</v>
      </c>
    </row>
    <row r="9" spans="1:13" ht="25.5" customHeight="1" x14ac:dyDescent="0.2">
      <c r="A9" s="33" t="s">
        <v>564</v>
      </c>
      <c r="B9" s="36"/>
      <c r="C9" s="36"/>
    </row>
    <row r="10" spans="1:13" ht="25.5" customHeight="1" x14ac:dyDescent="0.2">
      <c r="A10" s="50" t="s">
        <v>496</v>
      </c>
      <c r="B10" s="36"/>
      <c r="C10" s="36"/>
    </row>
    <row r="11" spans="1:13" ht="25.5" customHeight="1" x14ac:dyDescent="0.2">
      <c r="A11" s="36"/>
      <c r="B11" s="36"/>
      <c r="C11" s="36"/>
    </row>
    <row r="12" spans="1:13" s="1" customFormat="1" ht="29.25" customHeight="1" x14ac:dyDescent="0.2">
      <c r="A12" s="37" t="s">
        <v>361</v>
      </c>
      <c r="B12" s="18" t="s">
        <v>362</v>
      </c>
      <c r="C12" s="9" t="s">
        <v>362</v>
      </c>
      <c r="D12" s="9" t="s">
        <v>362</v>
      </c>
      <c r="E12" s="9" t="s">
        <v>362</v>
      </c>
      <c r="F12" s="9" t="s">
        <v>362</v>
      </c>
      <c r="G12" s="9" t="s">
        <v>362</v>
      </c>
      <c r="H12" s="9" t="s">
        <v>362</v>
      </c>
      <c r="I12" s="9" t="s">
        <v>362</v>
      </c>
      <c r="J12" s="9" t="s">
        <v>362</v>
      </c>
      <c r="K12" s="9" t="s">
        <v>362</v>
      </c>
      <c r="L12" s="28" t="s">
        <v>362</v>
      </c>
      <c r="M12" s="29" t="s">
        <v>362</v>
      </c>
    </row>
    <row r="13" spans="1:13" ht="16" x14ac:dyDescent="0.2">
      <c r="A13" s="17" t="s">
        <v>74</v>
      </c>
      <c r="B13" s="19"/>
      <c r="C13" s="20"/>
      <c r="D13" s="30"/>
      <c r="E13" s="20"/>
      <c r="F13" s="20"/>
      <c r="G13" s="20"/>
      <c r="H13" s="20"/>
      <c r="I13" s="20"/>
      <c r="J13" s="20"/>
      <c r="K13" s="21"/>
      <c r="L13" s="22"/>
      <c r="M13" s="22"/>
    </row>
    <row r="14" spans="1:13" ht="16" x14ac:dyDescent="0.2">
      <c r="A14" s="17" t="s">
        <v>76</v>
      </c>
      <c r="B14" s="19"/>
      <c r="C14" s="20"/>
      <c r="D14" s="30"/>
      <c r="E14" s="20"/>
      <c r="F14" s="20"/>
      <c r="G14" s="20"/>
      <c r="H14" s="20"/>
      <c r="I14" s="20"/>
      <c r="J14" s="20"/>
      <c r="K14" s="20"/>
      <c r="L14" s="22"/>
      <c r="M14" s="22"/>
    </row>
    <row r="15" spans="1:13" ht="16" x14ac:dyDescent="0.2">
      <c r="A15" s="17" t="s">
        <v>363</v>
      </c>
      <c r="B15" s="19"/>
      <c r="C15" s="20"/>
      <c r="D15" s="20"/>
      <c r="E15" s="20"/>
      <c r="F15" s="20"/>
      <c r="G15" s="20"/>
      <c r="H15" s="20"/>
      <c r="I15" s="20"/>
      <c r="J15" s="20"/>
      <c r="K15" s="20"/>
      <c r="L15" s="22"/>
      <c r="M15" s="22"/>
    </row>
    <row r="16" spans="1:13" ht="16" x14ac:dyDescent="0.2">
      <c r="A16" s="17" t="s">
        <v>364</v>
      </c>
      <c r="B16" s="19"/>
      <c r="C16" s="20"/>
      <c r="D16" s="20"/>
      <c r="E16" s="20"/>
      <c r="F16" s="20"/>
      <c r="G16" s="20"/>
      <c r="H16" s="20"/>
      <c r="I16" s="20"/>
      <c r="J16" s="20"/>
      <c r="K16" s="20"/>
      <c r="L16" s="22"/>
      <c r="M16" s="22"/>
    </row>
    <row r="17" spans="1:14" ht="16" thickBot="1" x14ac:dyDescent="0.25"/>
    <row r="18" spans="1:14" ht="33" thickTop="1" x14ac:dyDescent="0.2">
      <c r="A18" s="37" t="s">
        <v>365</v>
      </c>
      <c r="B18" s="38" t="s">
        <v>366</v>
      </c>
      <c r="C18" s="39" t="s">
        <v>367</v>
      </c>
      <c r="D18" s="39" t="s">
        <v>368</v>
      </c>
      <c r="E18" s="39" t="s">
        <v>369</v>
      </c>
      <c r="F18" s="39" t="s">
        <v>370</v>
      </c>
      <c r="G18" s="39" t="s">
        <v>371</v>
      </c>
      <c r="H18" s="40" t="s">
        <v>372</v>
      </c>
      <c r="J18"/>
    </row>
    <row r="19" spans="1:14" ht="16" x14ac:dyDescent="0.2">
      <c r="A19" s="17" t="s">
        <v>74</v>
      </c>
      <c r="B19" s="23">
        <v>0.05</v>
      </c>
      <c r="C19" s="24"/>
      <c r="D19" s="27"/>
      <c r="E19" s="24"/>
      <c r="F19" s="26"/>
      <c r="G19" s="26"/>
      <c r="H19" s="25"/>
      <c r="J19"/>
    </row>
    <row r="20" spans="1:14" ht="16" x14ac:dyDescent="0.2">
      <c r="A20" s="17" t="s">
        <v>76</v>
      </c>
      <c r="B20" s="11"/>
      <c r="C20" s="10"/>
      <c r="D20" s="10"/>
      <c r="E20" s="10"/>
      <c r="F20" s="10"/>
      <c r="G20" s="10"/>
      <c r="H20" s="12"/>
    </row>
    <row r="21" spans="1:14" ht="16" x14ac:dyDescent="0.2">
      <c r="A21" s="17" t="s">
        <v>363</v>
      </c>
      <c r="B21" s="11"/>
      <c r="C21" s="10"/>
      <c r="D21" s="10"/>
      <c r="E21" s="10"/>
      <c r="F21" s="10"/>
      <c r="G21" s="10"/>
      <c r="H21" s="12"/>
    </row>
    <row r="22" spans="1:14" ht="17" thickBot="1" x14ac:dyDescent="0.25">
      <c r="A22" s="17" t="s">
        <v>364</v>
      </c>
      <c r="B22" s="13"/>
      <c r="C22" s="14"/>
      <c r="D22" s="14"/>
      <c r="E22" s="14"/>
      <c r="F22" s="14"/>
      <c r="G22" s="14"/>
      <c r="H22" s="15"/>
    </row>
    <row r="23" spans="1:14" ht="16" thickTop="1" x14ac:dyDescent="0.2">
      <c r="A23"/>
      <c r="D23"/>
      <c r="E23"/>
      <c r="F23"/>
    </row>
    <row r="24" spans="1:14" x14ac:dyDescent="0.2">
      <c r="A24"/>
      <c r="D24"/>
      <c r="E24"/>
      <c r="F24"/>
    </row>
    <row r="25" spans="1:14" ht="44.25" customHeight="1" x14ac:dyDescent="0.2">
      <c r="A25" s="37" t="s">
        <v>373</v>
      </c>
      <c r="B25" s="18" t="s">
        <v>620</v>
      </c>
      <c r="C25" s="9" t="s">
        <v>173</v>
      </c>
      <c r="D25" s="9" t="s">
        <v>412</v>
      </c>
      <c r="E25" s="9" t="s">
        <v>621</v>
      </c>
      <c r="F25" s="9" t="s">
        <v>622</v>
      </c>
      <c r="G25" s="9" t="s">
        <v>383</v>
      </c>
      <c r="H25" s="9" t="s">
        <v>387</v>
      </c>
      <c r="I25" s="9" t="s">
        <v>623</v>
      </c>
      <c r="J25" s="9" t="s">
        <v>389</v>
      </c>
      <c r="K25" s="9" t="s">
        <v>390</v>
      </c>
      <c r="L25" s="9" t="s">
        <v>624</v>
      </c>
      <c r="M25" s="53" t="s">
        <v>605</v>
      </c>
      <c r="N25" s="1"/>
    </row>
    <row r="26" spans="1:14" ht="44.25" customHeight="1" x14ac:dyDescent="0.2">
      <c r="A26" s="37" t="s">
        <v>72</v>
      </c>
      <c r="B26" s="50" t="s">
        <v>397</v>
      </c>
      <c r="C26" s="50" t="s">
        <v>397</v>
      </c>
      <c r="D26" s="50" t="s">
        <v>397</v>
      </c>
      <c r="E26" s="50" t="s">
        <v>397</v>
      </c>
      <c r="F26" s="49" t="s">
        <v>398</v>
      </c>
      <c r="G26" s="50" t="s">
        <v>397</v>
      </c>
      <c r="H26" s="50" t="s">
        <v>397</v>
      </c>
      <c r="I26" s="50" t="s">
        <v>397</v>
      </c>
      <c r="J26" s="49" t="s">
        <v>398</v>
      </c>
      <c r="K26" s="50" t="s">
        <v>397</v>
      </c>
      <c r="L26" s="50" t="s">
        <v>397</v>
      </c>
      <c r="M26" s="52" t="s">
        <v>397</v>
      </c>
      <c r="N26" s="1" t="s">
        <v>609</v>
      </c>
    </row>
    <row r="27" spans="1:14" ht="16" x14ac:dyDescent="0.2">
      <c r="A27" s="17" t="s">
        <v>74</v>
      </c>
      <c r="B27" s="20">
        <v>0</v>
      </c>
      <c r="C27" s="20">
        <v>0</v>
      </c>
      <c r="D27" s="20">
        <v>0</v>
      </c>
      <c r="E27" s="20">
        <v>2000</v>
      </c>
      <c r="F27" s="20"/>
      <c r="G27" s="20">
        <v>1</v>
      </c>
      <c r="H27" s="20">
        <v>176.66</v>
      </c>
      <c r="I27" s="20"/>
      <c r="J27" s="31">
        <f>G27*H27*B38</f>
        <v>0</v>
      </c>
      <c r="K27" s="21"/>
      <c r="L27" s="21"/>
      <c r="M27" s="54"/>
    </row>
    <row r="28" spans="1:14" ht="16" x14ac:dyDescent="0.2">
      <c r="A28" s="17" t="s">
        <v>76</v>
      </c>
      <c r="B28" s="20">
        <v>0</v>
      </c>
      <c r="C28" s="20">
        <v>0</v>
      </c>
      <c r="D28" s="20">
        <v>0</v>
      </c>
      <c r="E28" s="20">
        <v>4000</v>
      </c>
      <c r="F28" s="20"/>
      <c r="G28" s="20">
        <v>0.5</v>
      </c>
      <c r="H28" s="20">
        <v>353.31</v>
      </c>
      <c r="I28" s="20"/>
      <c r="J28" s="31">
        <f>G28*H28*B38</f>
        <v>0</v>
      </c>
      <c r="K28" s="20"/>
      <c r="L28" s="20"/>
      <c r="M28" s="54"/>
    </row>
    <row r="29" spans="1:14" ht="16" x14ac:dyDescent="0.2">
      <c r="A29" s="17" t="s">
        <v>363</v>
      </c>
      <c r="B29" s="20"/>
      <c r="C29" s="20"/>
      <c r="D29" s="20"/>
      <c r="E29" s="20"/>
      <c r="F29" s="20"/>
      <c r="G29" s="20"/>
      <c r="H29" s="20"/>
      <c r="I29" s="20"/>
      <c r="J29" s="31"/>
      <c r="K29" s="20"/>
      <c r="L29" s="20"/>
      <c r="M29" s="54"/>
    </row>
    <row r="30" spans="1:14" s="1" customFormat="1" ht="16" x14ac:dyDescent="0.2">
      <c r="A30" s="17" t="s">
        <v>364</v>
      </c>
      <c r="B30" s="20"/>
      <c r="C30" s="20"/>
      <c r="D30" s="20"/>
      <c r="E30" s="20"/>
      <c r="F30" s="20"/>
      <c r="G30" s="20"/>
      <c r="H30" s="20"/>
      <c r="I30" s="20"/>
      <c r="J30" s="20"/>
      <c r="K30" s="20"/>
      <c r="L30" s="20"/>
      <c r="M30" s="20"/>
    </row>
    <row r="31" spans="1:14" s="1" customFormat="1" ht="16" thickBot="1" x14ac:dyDescent="0.25">
      <c r="A31" s="775"/>
      <c r="B31" s="775"/>
      <c r="C31" s="775"/>
      <c r="D31"/>
      <c r="E31"/>
    </row>
    <row r="32" spans="1:14" s="1" customFormat="1" ht="33" thickTop="1" x14ac:dyDescent="0.2">
      <c r="A32" s="37" t="s">
        <v>399</v>
      </c>
      <c r="B32" s="38" t="s">
        <v>366</v>
      </c>
      <c r="C32" s="39" t="s">
        <v>367</v>
      </c>
      <c r="D32" s="39" t="s">
        <v>368</v>
      </c>
      <c r="E32" s="39" t="s">
        <v>369</v>
      </c>
      <c r="F32" s="39" t="s">
        <v>370</v>
      </c>
      <c r="G32" s="39" t="s">
        <v>371</v>
      </c>
      <c r="H32" s="40" t="s">
        <v>372</v>
      </c>
      <c r="J32"/>
    </row>
    <row r="33" spans="1:11" s="1" customFormat="1" ht="16" x14ac:dyDescent="0.2">
      <c r="A33" s="17" t="s">
        <v>74</v>
      </c>
      <c r="B33" s="11"/>
      <c r="C33" s="10"/>
      <c r="D33" s="10"/>
      <c r="E33" s="10"/>
      <c r="F33" s="10"/>
      <c r="G33" s="10"/>
      <c r="H33" s="12">
        <v>10</v>
      </c>
      <c r="J33"/>
    </row>
    <row r="34" spans="1:11" s="1" customFormat="1" ht="16" x14ac:dyDescent="0.2">
      <c r="A34" s="17" t="s">
        <v>76</v>
      </c>
      <c r="B34" s="11"/>
      <c r="C34" s="10"/>
      <c r="D34" s="10"/>
      <c r="E34" s="10"/>
      <c r="F34" s="10"/>
      <c r="G34" s="10"/>
      <c r="H34" s="12">
        <v>1</v>
      </c>
    </row>
    <row r="35" spans="1:11" s="1" customFormat="1" ht="17" thickBot="1" x14ac:dyDescent="0.25">
      <c r="A35" s="17" t="s">
        <v>364</v>
      </c>
      <c r="B35" s="13"/>
      <c r="C35" s="14"/>
      <c r="D35" s="14"/>
      <c r="E35" s="14"/>
      <c r="F35" s="14"/>
      <c r="G35" s="14"/>
      <c r="H35" s="15"/>
    </row>
    <row r="36" spans="1:11" s="1" customFormat="1" ht="16" thickTop="1" x14ac:dyDescent="0.2">
      <c r="A36" s="41"/>
      <c r="B36" s="41"/>
      <c r="C36" s="3"/>
      <c r="D36" s="4"/>
    </row>
    <row r="37" spans="1:11" s="1" customFormat="1" x14ac:dyDescent="0.2"/>
    <row r="38" spans="1:11" s="1" customFormat="1" x14ac:dyDescent="0.2"/>
    <row r="39" spans="1:11" s="1" customFormat="1" x14ac:dyDescent="0.2"/>
    <row r="40" spans="1:11" s="1" customFormat="1" x14ac:dyDescent="0.2">
      <c r="C40" s="42"/>
      <c r="F40" s="42"/>
      <c r="G40" s="42"/>
      <c r="K40" s="41"/>
    </row>
    <row r="41" spans="1:11" s="1" customFormat="1" x14ac:dyDescent="0.2">
      <c r="F41"/>
      <c r="K41"/>
    </row>
    <row r="42" spans="1:11" s="1" customFormat="1" x14ac:dyDescent="0.2">
      <c r="F42"/>
      <c r="K42"/>
    </row>
    <row r="43" spans="1:11" s="1" customFormat="1" x14ac:dyDescent="0.2">
      <c r="C43" s="5"/>
      <c r="F43"/>
      <c r="G43" s="5"/>
      <c r="K43"/>
    </row>
    <row r="44" spans="1:11" s="1" customFormat="1" x14ac:dyDescent="0.2">
      <c r="F44"/>
      <c r="K44"/>
    </row>
    <row r="45" spans="1:11" s="1" customFormat="1" x14ac:dyDescent="0.2"/>
    <row r="46" spans="1:11" s="1" customFormat="1" x14ac:dyDescent="0.2">
      <c r="C46" s="43"/>
      <c r="D46" s="5"/>
      <c r="E46" s="43"/>
      <c r="F46" s="43"/>
    </row>
    <row r="47" spans="1:11" s="1" customFormat="1" x14ac:dyDescent="0.2"/>
    <row r="48" spans="1:11" s="1" customFormat="1" x14ac:dyDescent="0.2"/>
    <row r="50" s="1" customFormat="1" x14ac:dyDescent="0.2"/>
  </sheetData>
  <mergeCells count="4">
    <mergeCell ref="A2:A8"/>
    <mergeCell ref="B2:B8"/>
    <mergeCell ref="C2:C8"/>
    <mergeCell ref="A31:C31"/>
  </mergeCells>
  <dataValidations disablePrompts="1" count="1">
    <dataValidation type="list" allowBlank="1" showInputMessage="1" showErrorMessage="1" sqref="E2:E8" xr:uid="{81C299CB-45EB-4ADF-911B-93672654CD68}">
      <formula1>Answer</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2136-8DAC-489D-8D74-F40473A5B3D8}">
  <sheetPr>
    <tabColor rgb="FF00B0F0"/>
  </sheetPr>
  <dimension ref="A1:AB64"/>
  <sheetViews>
    <sheetView topLeftCell="A20" zoomScale="85" zoomScaleNormal="85" workbookViewId="0">
      <selection activeCell="M36" sqref="M36"/>
    </sheetView>
  </sheetViews>
  <sheetFormatPr baseColWidth="10" defaultColWidth="8.6640625" defaultRowHeight="15" x14ac:dyDescent="0.2"/>
  <cols>
    <col min="1" max="1" width="20.6640625" style="62" customWidth="1"/>
    <col min="2" max="5" width="15.6640625" style="62" hidden="1" customWidth="1"/>
    <col min="6" max="13" width="15.6640625" style="62" customWidth="1"/>
    <col min="14" max="17" width="15.6640625" style="63" customWidth="1"/>
    <col min="18" max="20" width="14.6640625" style="63" customWidth="1"/>
    <col min="21" max="21" width="15.6640625" style="63" customWidth="1"/>
    <col min="22" max="28" width="14.6640625" style="63" customWidth="1"/>
    <col min="29" max="29" width="14.33203125" style="63" customWidth="1"/>
    <col min="30" max="30" width="20.6640625" style="63" customWidth="1"/>
    <col min="31" max="16384" width="8.6640625" style="63"/>
  </cols>
  <sheetData>
    <row r="1" spans="1:28" ht="32" x14ac:dyDescent="0.2">
      <c r="A1" s="32" t="s">
        <v>344</v>
      </c>
      <c r="B1" s="33" t="s">
        <v>345</v>
      </c>
      <c r="C1" s="33" t="s">
        <v>346</v>
      </c>
      <c r="D1" s="33" t="s">
        <v>347</v>
      </c>
      <c r="E1" s="33" t="s">
        <v>348</v>
      </c>
      <c r="F1" s="33" t="s">
        <v>349</v>
      </c>
      <c r="G1" s="33" t="s">
        <v>350</v>
      </c>
      <c r="H1" s="33" t="s">
        <v>351</v>
      </c>
      <c r="I1" s="33" t="s">
        <v>352</v>
      </c>
      <c r="J1" s="33" t="s">
        <v>353</v>
      </c>
      <c r="K1" s="70" t="s">
        <v>354</v>
      </c>
      <c r="L1" s="33" t="s">
        <v>355</v>
      </c>
    </row>
    <row r="2" spans="1:28" ht="35.25" customHeight="1" x14ac:dyDescent="0.2">
      <c r="A2" s="810" t="s">
        <v>562</v>
      </c>
      <c r="B2" s="813" t="s">
        <v>563</v>
      </c>
      <c r="C2" s="813" t="s">
        <v>503</v>
      </c>
      <c r="D2" s="44" t="s">
        <v>337</v>
      </c>
      <c r="E2" s="46" t="s">
        <v>359</v>
      </c>
      <c r="F2" s="35" t="str">
        <f>IF($E2="Yes",VLOOKUP($D2,Master_Table!$B$3:$I$9,2,TRUE),"N/A")</f>
        <v>N/A</v>
      </c>
      <c r="G2" s="35" t="str">
        <f>IF($E2="Yes",VLOOKUP($D2,Master_Table!$B$3:$I$9,3,TRUE),"N/A")</f>
        <v>N/A</v>
      </c>
      <c r="H2" s="35" t="str">
        <f>IF($E2="Yes",VLOOKUP($D2,Master_Table!$B$3:$I$9,4,TRUE),"N/A")</f>
        <v>N/A</v>
      </c>
      <c r="I2" s="35" t="str">
        <f>IF($E2="Yes",VLOOKUP($D2,Master_Table!$B$3:$I$9,5,TRUE),"N/A")</f>
        <v>N/A</v>
      </c>
      <c r="J2" s="35" t="str">
        <f>IF($E2="Yes",VLOOKUP($D2,Master_Table!$B$3:$I$9,6,TRUE),"N/A")</f>
        <v>N/A</v>
      </c>
      <c r="K2" s="35" t="str">
        <f>IF($E2="Yes",VLOOKUP($D2,Master_Table!$B$3:$I$9,7,TRUE),"N/A")</f>
        <v>N/A</v>
      </c>
      <c r="L2" s="35" t="str">
        <f>IF($E2="Yes",VLOOKUP($D2,Master_Table!$B$3:$I$9,8,TRUE),"N/A")</f>
        <v>N/A</v>
      </c>
    </row>
    <row r="3" spans="1:28" ht="35.25" customHeight="1" x14ac:dyDescent="0.2">
      <c r="A3" s="811"/>
      <c r="B3" s="814"/>
      <c r="C3" s="814"/>
      <c r="D3" s="45" t="s">
        <v>338</v>
      </c>
      <c r="E3" s="46" t="s">
        <v>360</v>
      </c>
      <c r="F3" s="58">
        <f>IF($E3="Yes",VLOOKUP($D3,Master_Table!$B$3:$I$9,2,TRUE),"N/A")</f>
        <v>4</v>
      </c>
      <c r="G3" s="58">
        <f>IF($E3="Yes",VLOOKUP($D3,Master_Table!$B$3:$I$9,3,TRUE),"N/A")</f>
        <v>438.48392331098103</v>
      </c>
      <c r="H3" s="58">
        <f>IF($E3="Yes",VLOOKUP($D3,Master_Table!$B$3:$I$9,4,TRUE),"N/A")</f>
        <v>3.9986843109810399</v>
      </c>
      <c r="I3" s="58">
        <f>IF($E3="Yes",VLOOKUP($D3,Master_Table!$B$3:$I$9,5,TRUE),"N/A")</f>
        <v>246.28687500000001</v>
      </c>
      <c r="J3" s="58">
        <f>IF($E3="Yes",VLOOKUP($D3,Master_Table!$B$3:$I$9,6,TRUE),"N/A")</f>
        <v>188.198364</v>
      </c>
      <c r="K3" s="58">
        <f>IF($E3="Yes",VLOOKUP($D3,Master_Table!$B$3:$I$9,7,TRUE),"N/A")</f>
        <v>0</v>
      </c>
      <c r="L3" s="58">
        <f>IF($E3="Yes",VLOOKUP($D3,Master_Table!$B$3:$I$9,8,TRUE),"N/A")</f>
        <v>1753.9356932439241</v>
      </c>
      <c r="N3" s="805"/>
      <c r="O3" s="805"/>
      <c r="P3" s="805"/>
      <c r="Q3" s="805"/>
    </row>
    <row r="4" spans="1:28" ht="35.25" customHeight="1" x14ac:dyDescent="0.2">
      <c r="A4" s="811"/>
      <c r="B4" s="814"/>
      <c r="C4" s="814"/>
      <c r="D4" s="45" t="s">
        <v>339</v>
      </c>
      <c r="E4" s="46" t="s">
        <v>360</v>
      </c>
      <c r="F4" s="58">
        <f>IF($E4="Yes",VLOOKUP($D4,Master_Table!$B$3:$I$9,2,TRUE),"N/A")</f>
        <v>4</v>
      </c>
      <c r="G4" s="58">
        <f>IF($E4="Yes",VLOOKUP($D4,Master_Table!$B$3:$I$9,3,TRUE),"N/A")</f>
        <v>991.02977939228913</v>
      </c>
      <c r="H4" s="58">
        <f>IF($E4="Yes",VLOOKUP($D4,Master_Table!$B$3:$I$9,4,TRUE),"N/A")</f>
        <v>9.3302633922890941</v>
      </c>
      <c r="I4" s="58">
        <f>IF($E4="Yes",VLOOKUP($D4,Master_Table!$B$3:$I$9,5,TRUE),"N/A")</f>
        <v>542.57000000000005</v>
      </c>
      <c r="J4" s="58">
        <f>IF($E4="Yes",VLOOKUP($D4,Master_Table!$B$3:$I$9,6,TRUE),"N/A")</f>
        <v>439.12951600000002</v>
      </c>
      <c r="K4" s="58">
        <f>IF($E4="Yes",VLOOKUP($D4,Master_Table!$B$3:$I$9,7,TRUE),"N/A")</f>
        <v>0</v>
      </c>
      <c r="L4" s="58">
        <f>IF($E4="Yes",VLOOKUP($D4,Master_Table!$B$3:$I$9,8,TRUE),"N/A")</f>
        <v>3964.1191175691565</v>
      </c>
    </row>
    <row r="5" spans="1:28" ht="35.25" customHeight="1" x14ac:dyDescent="0.2">
      <c r="A5" s="811"/>
      <c r="B5" s="814"/>
      <c r="C5" s="814"/>
      <c r="D5" s="45" t="s">
        <v>340</v>
      </c>
      <c r="E5" s="46" t="s">
        <v>359</v>
      </c>
      <c r="F5" s="35" t="str">
        <f>IF($E5="Yes",VLOOKUP($D5,Master_Table!$B$3:$I$9,2,TRUE),"N/A")</f>
        <v>N/A</v>
      </c>
      <c r="G5" s="35" t="str">
        <f>IF($E5="Yes",VLOOKUP($D5,Master_Table!$B$3:$I$9,3,TRUE),"N/A")</f>
        <v>N/A</v>
      </c>
      <c r="H5" s="35" t="str">
        <f>IF($E5="Yes",VLOOKUP($D5,Master_Table!$B$3:$I$9,4,TRUE),"N/A")</f>
        <v>N/A</v>
      </c>
      <c r="I5" s="35" t="str">
        <f>IF($E5="Yes",VLOOKUP($D5,Master_Table!$B$3:$I$9,5,TRUE),"N/A")</f>
        <v>N/A</v>
      </c>
      <c r="J5" s="35" t="str">
        <f>IF($E5="Yes",VLOOKUP($D5,Master_Table!$B$3:$I$9,6,TRUE),"N/A")</f>
        <v>N/A</v>
      </c>
      <c r="K5" s="35" t="str">
        <f>IF($E5="Yes",VLOOKUP($D5,Master_Table!$B$3:$I$9,7,TRUE),"N/A")</f>
        <v>N/A</v>
      </c>
      <c r="L5" s="35" t="str">
        <f>IF($E5="Yes",VLOOKUP($D5,Master_Table!$B$3:$I$9,8,TRUE),"N/A")</f>
        <v>N/A</v>
      </c>
    </row>
    <row r="6" spans="1:28" ht="35.25" customHeight="1" x14ac:dyDescent="0.2">
      <c r="A6" s="811"/>
      <c r="B6" s="814"/>
      <c r="C6" s="814"/>
      <c r="D6" s="45" t="s">
        <v>341</v>
      </c>
      <c r="E6" s="46" t="s">
        <v>359</v>
      </c>
      <c r="F6" s="35" t="str">
        <f>IF($E6="Yes",VLOOKUP($D6,Master_Table!$B$3:$I$9,2,TRUE),"N/A")</f>
        <v>N/A</v>
      </c>
      <c r="G6" s="35" t="str">
        <f>IF($E6="Yes",VLOOKUP($D6,Master_Table!$B$3:$I$9,3,TRUE),"N/A")</f>
        <v>N/A</v>
      </c>
      <c r="H6" s="35" t="str">
        <f>IF($E6="Yes",VLOOKUP($D6,Master_Table!$B$3:$I$9,4,TRUE),"N/A")</f>
        <v>N/A</v>
      </c>
      <c r="I6" s="35" t="str">
        <f>IF($E6="Yes",VLOOKUP($D6,Master_Table!$B$3:$I$9,5,TRUE),"N/A")</f>
        <v>N/A</v>
      </c>
      <c r="J6" s="35" t="str">
        <f>IF($E6="Yes",VLOOKUP($D6,Master_Table!$B$3:$I$9,6,TRUE),"N/A")</f>
        <v>N/A</v>
      </c>
      <c r="K6" s="35" t="str">
        <f>IF($E6="Yes",VLOOKUP($D6,Master_Table!$B$3:$I$9,7,TRUE),"N/A")</f>
        <v>N/A</v>
      </c>
      <c r="L6" s="35" t="str">
        <f>IF($E6="Yes",VLOOKUP($D6,Master_Table!$B$3:$I$9,8,TRUE),"N/A")</f>
        <v>N/A</v>
      </c>
    </row>
    <row r="7" spans="1:28" ht="35.25" customHeight="1" x14ac:dyDescent="0.2">
      <c r="A7" s="811"/>
      <c r="B7" s="814"/>
      <c r="C7" s="814"/>
      <c r="D7" s="45" t="s">
        <v>342</v>
      </c>
      <c r="E7" s="46" t="s">
        <v>360</v>
      </c>
      <c r="F7" s="58">
        <f>IF($E7="Yes",VLOOKUP($D7,Master_Table!$B$3:$I$9,2,TRUE),"N/A")</f>
        <v>5.8</v>
      </c>
      <c r="G7" s="58">
        <f>IF($E7="Yes",VLOOKUP($D7,Master_Table!$B$3:$I$9,3,TRUE),"N/A")</f>
        <v>955.12197700150455</v>
      </c>
      <c r="H7" s="58">
        <f>IF($E7="Yes",VLOOKUP($D7,Master_Table!$B$3:$I$9,4,TRUE),"N/A")</f>
        <v>348.02866591505182</v>
      </c>
      <c r="I7" s="58">
        <f>IF($E7="Yes",VLOOKUP($D7,Master_Table!$B$3:$I$9,5,TRUE),"N/A")</f>
        <v>55.517241379310356</v>
      </c>
      <c r="J7" s="58">
        <f>IF($E7="Yes",VLOOKUP($D7,Master_Table!$B$3:$I$9,6,TRUE),"N/A")</f>
        <v>551.57606970714232</v>
      </c>
      <c r="K7" s="58">
        <f>IF($E7="Yes",VLOOKUP($D7,Master_Table!$B$3:$I$9,7,TRUE),"N/A")</f>
        <v>0</v>
      </c>
      <c r="L7" s="58">
        <f>IF($E7="Yes",VLOOKUP($D7,Master_Table!$B$3:$I$9,8,TRUE),"N/A")</f>
        <v>5539.7074666087265</v>
      </c>
    </row>
    <row r="8" spans="1:28" ht="35.25" customHeight="1" x14ac:dyDescent="0.2">
      <c r="A8" s="812"/>
      <c r="B8" s="815"/>
      <c r="C8" s="815"/>
      <c r="D8" s="45" t="s">
        <v>343</v>
      </c>
      <c r="E8" s="46" t="s">
        <v>360</v>
      </c>
      <c r="F8" s="58">
        <f>IF($E8="Yes",VLOOKUP($D8,Master_Table!$B$3:$I$9,2,TRUE),"N/A")</f>
        <v>6.2</v>
      </c>
      <c r="G8" s="58">
        <f>IF($E8="Yes",VLOOKUP($D8,Master_Table!$B$3:$I$9,3,TRUE),"N/A")</f>
        <v>1562.1690689806242</v>
      </c>
      <c r="H8" s="58">
        <f>IF($E8="Yes",VLOOKUP($D8,Master_Table!$B$3:$I$9,4,TRUE),"N/A")</f>
        <v>569.91011575644086</v>
      </c>
      <c r="I8" s="58">
        <f>IF($E8="Yes",VLOOKUP($D8,Master_Table!$B$3:$I$9,5,TRUE),"N/A")</f>
        <v>89.032258064516128</v>
      </c>
      <c r="J8" s="58">
        <f>IF($E8="Yes",VLOOKUP($D8,Master_Table!$B$3:$I$9,6,TRUE),"N/A")</f>
        <v>903.22669515966732</v>
      </c>
      <c r="K8" s="58">
        <f>IF($E8="Yes",VLOOKUP($D8,Master_Table!$B$3:$I$9,7,TRUE),"N/A")</f>
        <v>0</v>
      </c>
      <c r="L8" s="58">
        <f>IF($E8="Yes",VLOOKUP($D8,Master_Table!$B$3:$I$9,8,TRUE),"N/A")</f>
        <v>9685.4482276798699</v>
      </c>
    </row>
    <row r="9" spans="1:28" ht="25.5" customHeight="1" x14ac:dyDescent="0.2">
      <c r="A9" s="675"/>
      <c r="B9" s="36"/>
      <c r="C9" s="36"/>
    </row>
    <row r="10" spans="1:28" ht="25.5" customHeight="1" x14ac:dyDescent="0.2">
      <c r="A10" s="676"/>
      <c r="B10" s="36"/>
      <c r="C10" s="55"/>
    </row>
    <row r="11" spans="1:28" ht="25.5" customHeight="1" x14ac:dyDescent="0.2">
      <c r="A11" s="36"/>
      <c r="B11" s="36"/>
      <c r="C11" s="36"/>
    </row>
    <row r="12" spans="1:28" s="62" customFormat="1" ht="64" x14ac:dyDescent="0.2">
      <c r="A12" s="37" t="s">
        <v>361</v>
      </c>
      <c r="B12" s="60" t="s">
        <v>565</v>
      </c>
      <c r="C12" s="59" t="s">
        <v>566</v>
      </c>
      <c r="D12" s="59" t="s">
        <v>625</v>
      </c>
      <c r="E12" s="59" t="s">
        <v>568</v>
      </c>
      <c r="F12" s="59" t="s">
        <v>225</v>
      </c>
      <c r="G12" s="59" t="s">
        <v>226</v>
      </c>
      <c r="H12" s="59" t="s">
        <v>569</v>
      </c>
      <c r="I12" s="59" t="s">
        <v>570</v>
      </c>
      <c r="J12" s="59" t="s">
        <v>626</v>
      </c>
      <c r="K12" s="59" t="s">
        <v>584</v>
      </c>
      <c r="L12" s="59" t="s">
        <v>627</v>
      </c>
      <c r="M12" s="59" t="s">
        <v>628</v>
      </c>
      <c r="N12" s="59" t="s">
        <v>629</v>
      </c>
      <c r="O12" s="59" t="s">
        <v>630</v>
      </c>
      <c r="P12" s="59" t="s">
        <v>631</v>
      </c>
      <c r="Q12" s="59" t="s">
        <v>632</v>
      </c>
      <c r="R12" s="59" t="s">
        <v>633</v>
      </c>
      <c r="S12" s="59" t="s">
        <v>392</v>
      </c>
      <c r="T12" s="125" t="s">
        <v>393</v>
      </c>
      <c r="U12" s="59" t="s">
        <v>394</v>
      </c>
      <c r="V12" s="125" t="s">
        <v>634</v>
      </c>
      <c r="W12" s="125" t="s">
        <v>396</v>
      </c>
      <c r="X12" s="125" t="s">
        <v>635</v>
      </c>
      <c r="Y12" s="125" t="s">
        <v>636</v>
      </c>
      <c r="Z12" s="125" t="s">
        <v>637</v>
      </c>
      <c r="AA12" s="65" t="s">
        <v>638</v>
      </c>
    </row>
    <row r="13" spans="1:28" s="62" customFormat="1" ht="68.25" customHeight="1" x14ac:dyDescent="0.2">
      <c r="A13" s="37" t="s">
        <v>72</v>
      </c>
      <c r="B13" s="50" t="s">
        <v>397</v>
      </c>
      <c r="C13" s="50" t="s">
        <v>397</v>
      </c>
      <c r="D13" s="50" t="s">
        <v>397</v>
      </c>
      <c r="E13" s="50" t="s">
        <v>397</v>
      </c>
      <c r="F13" s="50" t="s">
        <v>397</v>
      </c>
      <c r="G13" s="50" t="s">
        <v>397</v>
      </c>
      <c r="H13" s="50" t="s">
        <v>639</v>
      </c>
      <c r="I13" s="50" t="s">
        <v>639</v>
      </c>
      <c r="J13" s="332" t="s">
        <v>398</v>
      </c>
      <c r="K13" s="332" t="s">
        <v>640</v>
      </c>
      <c r="L13" s="332" t="s">
        <v>641</v>
      </c>
      <c r="M13" s="332" t="s">
        <v>398</v>
      </c>
      <c r="N13" s="332" t="s">
        <v>398</v>
      </c>
      <c r="O13" s="50" t="s">
        <v>397</v>
      </c>
      <c r="P13" s="50" t="s">
        <v>397</v>
      </c>
      <c r="Q13" s="50" t="s">
        <v>397</v>
      </c>
      <c r="R13" s="50" t="s">
        <v>397</v>
      </c>
      <c r="S13" s="50" t="s">
        <v>397</v>
      </c>
      <c r="T13" s="50" t="s">
        <v>397</v>
      </c>
      <c r="U13" s="50" t="s">
        <v>397</v>
      </c>
      <c r="V13" s="50" t="s">
        <v>397</v>
      </c>
      <c r="W13" s="50" t="s">
        <v>397</v>
      </c>
      <c r="X13" s="66" t="s">
        <v>398</v>
      </c>
      <c r="Y13" s="66" t="s">
        <v>398</v>
      </c>
      <c r="Z13" s="66" t="s">
        <v>398</v>
      </c>
      <c r="AA13" s="451" t="s">
        <v>397</v>
      </c>
    </row>
    <row r="14" spans="1:28" s="62" customFormat="1" ht="113.25" customHeight="1" x14ac:dyDescent="0.2">
      <c r="A14" s="37"/>
      <c r="B14" s="37"/>
      <c r="C14" s="37"/>
      <c r="D14" s="37"/>
      <c r="E14" s="37"/>
      <c r="F14" s="37"/>
      <c r="G14" s="37"/>
      <c r="H14" s="37"/>
      <c r="I14" s="37"/>
      <c r="J14" s="333"/>
      <c r="K14" s="333"/>
      <c r="L14" s="333"/>
      <c r="M14" s="333"/>
      <c r="N14" s="333"/>
      <c r="O14" s="37"/>
      <c r="P14" s="37"/>
      <c r="Q14" s="37"/>
      <c r="R14" s="37"/>
      <c r="S14" s="592"/>
      <c r="T14" s="592"/>
      <c r="U14" s="592"/>
      <c r="V14" s="592"/>
      <c r="W14" s="592"/>
      <c r="X14" s="37"/>
      <c r="Y14" s="37"/>
      <c r="Z14" s="37"/>
      <c r="AA14" s="37"/>
    </row>
    <row r="15" spans="1:28" ht="16" x14ac:dyDescent="0.2">
      <c r="A15" s="71" t="s">
        <v>74</v>
      </c>
      <c r="B15" s="126">
        <v>9.23</v>
      </c>
      <c r="C15" s="77">
        <v>5.12</v>
      </c>
      <c r="D15" s="340">
        <v>283.89999999999998</v>
      </c>
      <c r="E15" s="77">
        <v>412.8</v>
      </c>
      <c r="F15" s="77">
        <v>13.5</v>
      </c>
      <c r="G15" s="77">
        <v>7.49</v>
      </c>
      <c r="H15" s="73">
        <v>3</v>
      </c>
      <c r="I15" s="74">
        <v>0.98</v>
      </c>
      <c r="J15" s="481">
        <f>(1-I15)</f>
        <v>2.0000000000000018E-2</v>
      </c>
      <c r="K15" s="481">
        <f>'Master Inputs '!V50</f>
        <v>4.2979942693409698E-2</v>
      </c>
      <c r="L15" s="334">
        <f>F15*K15</f>
        <v>0.58022922636103091</v>
      </c>
      <c r="M15" s="334">
        <f>L15*J15</f>
        <v>1.1604584527220629E-2</v>
      </c>
      <c r="N15" s="334">
        <f>L15-M15</f>
        <v>0.56862464183381034</v>
      </c>
      <c r="O15" s="77">
        <v>36.5</v>
      </c>
      <c r="P15" s="77">
        <v>78.8</v>
      </c>
      <c r="Q15" s="77">
        <v>79</v>
      </c>
      <c r="R15" s="452">
        <f>1511/1000</f>
        <v>1.5109999999999999</v>
      </c>
      <c r="S15" s="499">
        <f>119294/1000</f>
        <v>119.294</v>
      </c>
      <c r="T15" s="452">
        <f>2321/1000</f>
        <v>2.3210000000000002</v>
      </c>
      <c r="U15" s="500">
        <f>223147/1000</f>
        <v>223.14699999999999</v>
      </c>
      <c r="V15" s="501">
        <v>1.84</v>
      </c>
      <c r="W15" s="499">
        <v>183.999</v>
      </c>
      <c r="X15" s="329">
        <f>N15*O15/100</f>
        <v>0.20754799426934079</v>
      </c>
      <c r="Y15" s="329">
        <f>N15*P15/100</f>
        <v>0.44807621776504258</v>
      </c>
      <c r="Z15" s="329">
        <f>N15*Q15/100</f>
        <v>0.44921346704871018</v>
      </c>
      <c r="AA15" s="456">
        <v>40</v>
      </c>
      <c r="AB15" s="63">
        <v>0.63</v>
      </c>
    </row>
    <row r="16" spans="1:28" ht="16" x14ac:dyDescent="0.2">
      <c r="A16" s="71" t="s">
        <v>76</v>
      </c>
      <c r="B16" s="72">
        <v>9.23</v>
      </c>
      <c r="C16" s="73">
        <v>5.12</v>
      </c>
      <c r="D16" s="73">
        <v>283.89999999999998</v>
      </c>
      <c r="E16" s="73">
        <v>412.8</v>
      </c>
      <c r="F16" s="73">
        <v>13.5</v>
      </c>
      <c r="G16" s="73">
        <v>7.49</v>
      </c>
      <c r="H16" s="73">
        <v>3</v>
      </c>
      <c r="I16" s="74">
        <v>0.98</v>
      </c>
      <c r="J16" s="481">
        <f>(1-I16)</f>
        <v>2.0000000000000018E-2</v>
      </c>
      <c r="K16" s="481">
        <f>'Master Inputs '!V49</f>
        <v>4.3282236248872855E-2</v>
      </c>
      <c r="L16" s="334">
        <f>F16*K16</f>
        <v>0.58431018935978352</v>
      </c>
      <c r="M16" s="334">
        <f>L16*J16</f>
        <v>1.1686203787195681E-2</v>
      </c>
      <c r="N16" s="334">
        <f>L16-M16</f>
        <v>0.57262398557258787</v>
      </c>
      <c r="O16" s="73">
        <v>21.5</v>
      </c>
      <c r="P16" s="73">
        <v>46.3</v>
      </c>
      <c r="Q16" s="73">
        <v>46</v>
      </c>
      <c r="R16" s="452">
        <f>887/1000</f>
        <v>0.88700000000000001</v>
      </c>
      <c r="S16" s="499">
        <f>70061/1000</f>
        <v>70.061000000000007</v>
      </c>
      <c r="T16" s="452">
        <f>1310/1000</f>
        <v>1.31</v>
      </c>
      <c r="U16" s="500">
        <f>131055/1000</f>
        <v>131.05500000000001</v>
      </c>
      <c r="V16" s="502">
        <v>1.081</v>
      </c>
      <c r="W16" s="499">
        <v>108.1</v>
      </c>
      <c r="X16" s="329">
        <f>N16*O16/100</f>
        <v>0.1231141568981064</v>
      </c>
      <c r="Y16" s="329">
        <f>N16*P16/100</f>
        <v>0.26512490532010813</v>
      </c>
      <c r="Z16" s="329">
        <f>N16*Q16/100</f>
        <v>0.26340703336339044</v>
      </c>
      <c r="AA16" s="456">
        <v>40</v>
      </c>
      <c r="AB16" s="63">
        <v>0.37</v>
      </c>
    </row>
    <row r="17" spans="1:27" ht="16" x14ac:dyDescent="0.2">
      <c r="A17" s="71" t="s">
        <v>363</v>
      </c>
      <c r="B17" s="72"/>
      <c r="C17" s="73"/>
      <c r="D17" s="73"/>
      <c r="E17" s="73"/>
      <c r="F17" s="73"/>
      <c r="G17" s="73"/>
      <c r="H17" s="73"/>
      <c r="I17" s="73"/>
      <c r="J17" s="481"/>
      <c r="K17" s="481"/>
      <c r="L17" s="334"/>
      <c r="M17" s="334"/>
      <c r="N17" s="334"/>
      <c r="O17" s="73"/>
      <c r="P17" s="73"/>
      <c r="Q17" s="73"/>
      <c r="R17" s="452"/>
      <c r="S17" s="452"/>
      <c r="T17" s="452"/>
      <c r="U17" s="452"/>
      <c r="V17" s="452"/>
      <c r="W17" s="452"/>
      <c r="X17" s="329"/>
      <c r="Y17" s="329"/>
      <c r="Z17" s="329"/>
      <c r="AA17" s="456"/>
    </row>
    <row r="18" spans="1:27" ht="16" x14ac:dyDescent="0.2">
      <c r="A18" s="71" t="s">
        <v>364</v>
      </c>
      <c r="B18" s="72"/>
      <c r="C18" s="73"/>
      <c r="D18" s="73"/>
      <c r="E18" s="73"/>
      <c r="F18" s="73"/>
      <c r="G18" s="73"/>
      <c r="H18" s="73"/>
      <c r="I18" s="73"/>
      <c r="J18" s="481"/>
      <c r="K18" s="481"/>
      <c r="L18" s="334"/>
      <c r="M18" s="334"/>
      <c r="N18" s="334"/>
      <c r="O18" s="77">
        <f>SUM(O15:O17)</f>
        <v>58</v>
      </c>
      <c r="P18" s="77">
        <f>SUM(P15:P17)</f>
        <v>125.1</v>
      </c>
      <c r="Q18" s="77">
        <f>SUM(Q15:Q17)</f>
        <v>125</v>
      </c>
      <c r="R18" s="490">
        <v>0</v>
      </c>
      <c r="S18" s="490">
        <v>38.79</v>
      </c>
      <c r="T18" s="491">
        <v>0</v>
      </c>
      <c r="U18" s="490">
        <v>69.41</v>
      </c>
      <c r="V18" s="490" t="e">
        <f>#REF!</f>
        <v>#REF!</v>
      </c>
      <c r="W18" s="490">
        <v>188.85</v>
      </c>
      <c r="X18" s="329"/>
      <c r="Y18" s="329"/>
      <c r="Z18" s="329"/>
      <c r="AA18" s="456"/>
    </row>
    <row r="19" spans="1:27" ht="16" thickBot="1" x14ac:dyDescent="0.25">
      <c r="N19" s="62"/>
      <c r="O19" s="62"/>
    </row>
    <row r="20" spans="1:27" ht="33" thickTop="1" x14ac:dyDescent="0.2">
      <c r="A20" s="37" t="s">
        <v>365</v>
      </c>
      <c r="B20" s="81" t="s">
        <v>366</v>
      </c>
      <c r="C20" s="82" t="s">
        <v>367</v>
      </c>
      <c r="D20" s="82" t="s">
        <v>368</v>
      </c>
      <c r="E20" s="82" t="s">
        <v>369</v>
      </c>
      <c r="F20" s="82" t="s">
        <v>642</v>
      </c>
      <c r="G20" s="82" t="s">
        <v>643</v>
      </c>
      <c r="H20" s="82" t="s">
        <v>402</v>
      </c>
      <c r="I20" s="83" t="s">
        <v>372</v>
      </c>
      <c r="J20" s="83" t="s">
        <v>612</v>
      </c>
      <c r="K20" s="83" t="s">
        <v>613</v>
      </c>
      <c r="L20" s="83" t="s">
        <v>614</v>
      </c>
      <c r="M20" s="168" t="s">
        <v>644</v>
      </c>
      <c r="N20" s="62"/>
      <c r="O20" s="62"/>
      <c r="T20" s="62"/>
    </row>
    <row r="21" spans="1:27" ht="16" x14ac:dyDescent="0.2">
      <c r="A21" s="71" t="s">
        <v>74</v>
      </c>
      <c r="B21" s="84">
        <f>Z15/F8</f>
        <v>7.2453785007856472E-2</v>
      </c>
      <c r="C21" s="156">
        <f>F8*(1-B21)</f>
        <v>5.7507865329512899</v>
      </c>
      <c r="D21" s="86">
        <v>0</v>
      </c>
      <c r="E21" s="156">
        <f>G8*(1-D21)</f>
        <v>1562.1690689806242</v>
      </c>
      <c r="F21" s="276">
        <f>SUM(V15)</f>
        <v>1.84</v>
      </c>
      <c r="G21" s="276">
        <f>SUM(W15)</f>
        <v>183.999</v>
      </c>
      <c r="H21" s="276">
        <f>SUM(F21,G21)</f>
        <v>185.839</v>
      </c>
      <c r="I21" s="48">
        <f>AA15</f>
        <v>40</v>
      </c>
      <c r="J21" s="159">
        <f>(F8*G8)-(C21*E21)</f>
        <v>701.74738359304138</v>
      </c>
      <c r="K21" s="48"/>
      <c r="L21" s="48"/>
      <c r="M21" s="164"/>
      <c r="N21" s="62"/>
      <c r="O21" s="62"/>
      <c r="U21" s="498"/>
    </row>
    <row r="22" spans="1:27" ht="16" x14ac:dyDescent="0.2">
      <c r="A22" s="71" t="s">
        <v>76</v>
      </c>
      <c r="B22" s="84">
        <f>Z16/F7</f>
        <v>4.5415005752308696E-2</v>
      </c>
      <c r="C22" s="156">
        <f>F7*(1-B22)</f>
        <v>5.5365929666366096</v>
      </c>
      <c r="D22" s="86">
        <v>0</v>
      </c>
      <c r="E22" s="156">
        <f>G7*(1-D22)</f>
        <v>955.12197700150455</v>
      </c>
      <c r="F22" s="276">
        <f>SUM(V16)</f>
        <v>1.081</v>
      </c>
      <c r="G22" s="276">
        <f>SUM(W16)</f>
        <v>108.1</v>
      </c>
      <c r="H22" s="276">
        <f>SUM(F22,G22)</f>
        <v>109.181</v>
      </c>
      <c r="I22" s="48">
        <f>AA16</f>
        <v>40</v>
      </c>
      <c r="J22" s="159">
        <f>(F7*G7)-(C22*E22)</f>
        <v>251.5858464621424</v>
      </c>
      <c r="K22" s="48"/>
      <c r="L22" s="48"/>
      <c r="M22" s="164"/>
      <c r="N22" s="62"/>
      <c r="O22" s="62"/>
      <c r="U22" s="498"/>
    </row>
    <row r="23" spans="1:27" ht="16" x14ac:dyDescent="0.2">
      <c r="A23" s="71" t="s">
        <v>363</v>
      </c>
      <c r="B23" s="89"/>
      <c r="C23" s="90"/>
      <c r="D23" s="90"/>
      <c r="E23" s="278"/>
      <c r="F23" s="90"/>
      <c r="G23" s="90"/>
      <c r="H23" s="90"/>
      <c r="I23" s="91"/>
      <c r="J23" s="91"/>
      <c r="K23" s="91"/>
      <c r="L23" s="91"/>
      <c r="M23" s="176"/>
      <c r="N23" s="62"/>
      <c r="O23" s="62"/>
    </row>
    <row r="24" spans="1:27" ht="17" thickBot="1" x14ac:dyDescent="0.25">
      <c r="A24" s="71" t="s">
        <v>364</v>
      </c>
      <c r="B24" s="92"/>
      <c r="C24" s="93"/>
      <c r="D24" s="93"/>
      <c r="E24" s="93"/>
      <c r="F24" s="93"/>
      <c r="G24" s="93"/>
      <c r="H24" s="93"/>
      <c r="I24" s="94"/>
      <c r="J24" s="94"/>
      <c r="K24" s="94"/>
      <c r="L24" s="94"/>
      <c r="M24" s="177"/>
      <c r="N24" s="62"/>
      <c r="O24" s="62"/>
    </row>
    <row r="25" spans="1:27" ht="16" thickTop="1" x14ac:dyDescent="0.2">
      <c r="A25" s="63"/>
      <c r="D25" s="63"/>
      <c r="E25" s="63"/>
      <c r="F25" s="63"/>
      <c r="N25" s="62"/>
      <c r="O25" s="62"/>
    </row>
    <row r="26" spans="1:27" x14ac:dyDescent="0.2">
      <c r="A26" s="63"/>
      <c r="D26" s="63"/>
      <c r="E26" s="63"/>
      <c r="F26" s="63"/>
      <c r="N26" s="62"/>
      <c r="O26" s="62"/>
    </row>
    <row r="27" spans="1:27" ht="45.75" customHeight="1" x14ac:dyDescent="0.2">
      <c r="A27" s="16" t="s">
        <v>373</v>
      </c>
      <c r="B27" s="60" t="s">
        <v>645</v>
      </c>
      <c r="C27" s="59" t="s">
        <v>375</v>
      </c>
      <c r="D27" s="59" t="s">
        <v>376</v>
      </c>
      <c r="E27" s="59" t="s">
        <v>646</v>
      </c>
      <c r="F27" s="60" t="s">
        <v>647</v>
      </c>
      <c r="G27" s="59" t="s">
        <v>379</v>
      </c>
      <c r="H27" s="59" t="s">
        <v>380</v>
      </c>
      <c r="I27" s="59" t="s">
        <v>381</v>
      </c>
      <c r="J27" s="60" t="s">
        <v>22</v>
      </c>
      <c r="K27" s="59" t="s">
        <v>24</v>
      </c>
      <c r="L27" s="59" t="s">
        <v>26</v>
      </c>
      <c r="M27" s="59" t="s">
        <v>28</v>
      </c>
      <c r="N27" s="59" t="s">
        <v>383</v>
      </c>
      <c r="O27" s="59" t="s">
        <v>387</v>
      </c>
      <c r="P27" s="59" t="s">
        <v>648</v>
      </c>
      <c r="Q27" s="59" t="s">
        <v>389</v>
      </c>
      <c r="R27" s="59" t="s">
        <v>638</v>
      </c>
      <c r="S27" s="59" t="s">
        <v>391</v>
      </c>
      <c r="T27" s="59" t="s">
        <v>392</v>
      </c>
      <c r="U27" s="59" t="s">
        <v>393</v>
      </c>
      <c r="V27" s="59" t="s">
        <v>394</v>
      </c>
      <c r="W27" s="59" t="s">
        <v>649</v>
      </c>
      <c r="X27" s="59" t="s">
        <v>650</v>
      </c>
      <c r="Y27" s="59" t="s">
        <v>402</v>
      </c>
      <c r="Z27" s="594"/>
    </row>
    <row r="28" spans="1:27" ht="16" x14ac:dyDescent="0.2">
      <c r="A28" s="16" t="s">
        <v>72</v>
      </c>
      <c r="B28" s="50" t="s">
        <v>397</v>
      </c>
      <c r="C28" s="50" t="s">
        <v>397</v>
      </c>
      <c r="D28" s="50" t="s">
        <v>397</v>
      </c>
      <c r="E28" s="50" t="s">
        <v>397</v>
      </c>
      <c r="F28" s="50" t="s">
        <v>397</v>
      </c>
      <c r="G28" s="50" t="s">
        <v>397</v>
      </c>
      <c r="H28" s="50" t="s">
        <v>397</v>
      </c>
      <c r="I28" s="50" t="s">
        <v>397</v>
      </c>
      <c r="J28" s="50" t="s">
        <v>397</v>
      </c>
      <c r="K28" s="50" t="s">
        <v>397</v>
      </c>
      <c r="L28" s="50" t="s">
        <v>397</v>
      </c>
      <c r="M28" s="50" t="s">
        <v>397</v>
      </c>
      <c r="N28" s="66" t="s">
        <v>151</v>
      </c>
      <c r="O28" s="66" t="s">
        <v>398</v>
      </c>
      <c r="P28" s="50" t="s">
        <v>397</v>
      </c>
      <c r="Q28" s="66" t="s">
        <v>398</v>
      </c>
      <c r="R28" s="50" t="s">
        <v>397</v>
      </c>
      <c r="S28" s="50" t="s">
        <v>397</v>
      </c>
      <c r="T28" s="50" t="s">
        <v>397</v>
      </c>
      <c r="U28" s="50" t="s">
        <v>397</v>
      </c>
      <c r="V28" s="50" t="s">
        <v>397</v>
      </c>
      <c r="W28" s="50" t="s">
        <v>397</v>
      </c>
      <c r="X28" s="50" t="s">
        <v>397</v>
      </c>
      <c r="Y28" s="66" t="s">
        <v>398</v>
      </c>
      <c r="Z28" s="595"/>
    </row>
    <row r="29" spans="1:27" ht="75" customHeight="1" x14ac:dyDescent="0.2">
      <c r="A29" s="16"/>
      <c r="B29" s="37"/>
      <c r="C29" s="37"/>
      <c r="D29" s="37"/>
      <c r="E29" s="37"/>
      <c r="F29" s="37"/>
      <c r="G29" s="37"/>
      <c r="H29" s="37"/>
      <c r="I29" s="37"/>
      <c r="J29" s="37"/>
      <c r="K29" s="37"/>
      <c r="L29" s="37"/>
      <c r="M29" s="37"/>
      <c r="N29" s="16"/>
      <c r="O29" s="16"/>
      <c r="P29" s="16"/>
      <c r="Q29" s="16"/>
      <c r="R29" s="16"/>
      <c r="S29" s="16"/>
      <c r="T29" s="16"/>
      <c r="U29" s="16"/>
      <c r="V29" s="16"/>
      <c r="W29" s="16"/>
      <c r="X29" s="16"/>
      <c r="Y29" s="16"/>
      <c r="Z29" s="596"/>
    </row>
    <row r="30" spans="1:27" ht="16" x14ac:dyDescent="0.2">
      <c r="A30" s="71" t="s">
        <v>74</v>
      </c>
      <c r="B30" s="72">
        <f>L42*P52</f>
        <v>1293.7577160493827</v>
      </c>
      <c r="C30" s="73">
        <f>L42*Q52</f>
        <v>115.24228395061729</v>
      </c>
      <c r="D30" s="73">
        <f>L42*R52</f>
        <v>0</v>
      </c>
      <c r="E30" s="73">
        <f>L42*S52</f>
        <v>0</v>
      </c>
      <c r="F30" s="72">
        <f>M42*P52</f>
        <v>1439.3246126439637</v>
      </c>
      <c r="G30" s="73">
        <f>M42*Q52</f>
        <v>128.208747008622</v>
      </c>
      <c r="H30" s="73">
        <f>M42*R52</f>
        <v>0</v>
      </c>
      <c r="I30" s="73">
        <f>M42*S52</f>
        <v>0</v>
      </c>
      <c r="J30" s="72">
        <f>N42*P52</f>
        <v>1439.3246126439637</v>
      </c>
      <c r="K30" s="73">
        <f>N42*Q52</f>
        <v>128.208747008622</v>
      </c>
      <c r="L30" s="73">
        <f>N42*R52</f>
        <v>0</v>
      </c>
      <c r="M30" s="73">
        <f>N42*S52</f>
        <v>0</v>
      </c>
      <c r="N30" s="330">
        <f>RiskSW_PSPS!E47</f>
        <v>3.2</v>
      </c>
      <c r="O30" s="329">
        <f>M30*'Master Inputs '!C23+J30*'Master Inputs '!C24+SUM(K30:L30)*'Master Inputs '!C25</f>
        <v>437.08285375652417</v>
      </c>
      <c r="P30" s="74">
        <v>1</v>
      </c>
      <c r="Q30" s="132">
        <f>N30*O30*P30</f>
        <v>1398.6651320208775</v>
      </c>
      <c r="R30" s="73">
        <v>40</v>
      </c>
      <c r="S30" s="66">
        <f t="shared" ref="S30:X31" si="0">R15</f>
        <v>1.5109999999999999</v>
      </c>
      <c r="T30" s="486">
        <f t="shared" si="0"/>
        <v>119.294</v>
      </c>
      <c r="U30" s="66">
        <f t="shared" si="0"/>
        <v>2.3210000000000002</v>
      </c>
      <c r="V30" s="486">
        <f t="shared" si="0"/>
        <v>223.14699999999999</v>
      </c>
      <c r="W30" s="66">
        <f t="shared" si="0"/>
        <v>1.84</v>
      </c>
      <c r="X30" s="486">
        <f t="shared" si="0"/>
        <v>183.999</v>
      </c>
      <c r="Y30" s="78"/>
      <c r="Z30" s="597"/>
    </row>
    <row r="31" spans="1:27" ht="16" x14ac:dyDescent="0.2">
      <c r="A31" s="71" t="s">
        <v>76</v>
      </c>
      <c r="B31" s="72">
        <f>L43*P53</f>
        <v>1110.8459972862959</v>
      </c>
      <c r="C31" s="73">
        <f>L43*Q53</f>
        <v>12.963364993215739</v>
      </c>
      <c r="D31" s="73">
        <f>L43*R53</f>
        <v>0</v>
      </c>
      <c r="E31" s="73">
        <f>L43*S53</f>
        <v>0.19063772048846675</v>
      </c>
      <c r="F31" s="72">
        <f>M43*P53</f>
        <v>1235.8326175889385</v>
      </c>
      <c r="G31" s="73">
        <f>M43*Q53</f>
        <v>14.421935472120786</v>
      </c>
      <c r="H31" s="73">
        <f>M43*R53</f>
        <v>0</v>
      </c>
      <c r="I31" s="73">
        <f>M43*S53</f>
        <v>0.21208728635471744</v>
      </c>
      <c r="J31" s="72">
        <f>N43*P53</f>
        <v>1235.8326175889385</v>
      </c>
      <c r="K31" s="73">
        <f>N43*Q53</f>
        <v>14.421935472120786</v>
      </c>
      <c r="L31" s="73">
        <f>N43*R53</f>
        <v>0</v>
      </c>
      <c r="M31" s="73">
        <f>N43*S53</f>
        <v>0.21208728635471744</v>
      </c>
      <c r="N31" s="330">
        <f>RiskSW_PSPS!E48</f>
        <v>2.4</v>
      </c>
      <c r="O31" s="329">
        <f>M31*'Master Inputs '!C23+J31*'Master Inputs '!C24+SUM(K31:L31)*'Master Inputs '!C25</f>
        <v>142.57045476429204</v>
      </c>
      <c r="P31" s="74">
        <v>1</v>
      </c>
      <c r="Q31" s="132">
        <f>N31*O31*P31</f>
        <v>342.16909143430087</v>
      </c>
      <c r="R31" s="73">
        <v>40</v>
      </c>
      <c r="S31" s="66">
        <f t="shared" si="0"/>
        <v>0.88700000000000001</v>
      </c>
      <c r="T31" s="486">
        <f t="shared" si="0"/>
        <v>70.061000000000007</v>
      </c>
      <c r="U31" s="66">
        <f t="shared" si="0"/>
        <v>1.31</v>
      </c>
      <c r="V31" s="486">
        <f t="shared" si="0"/>
        <v>131.05500000000001</v>
      </c>
      <c r="W31" s="66">
        <f t="shared" si="0"/>
        <v>1.081</v>
      </c>
      <c r="X31" s="486">
        <f t="shared" si="0"/>
        <v>108.1</v>
      </c>
      <c r="Y31" s="78"/>
      <c r="Z31" s="597"/>
    </row>
    <row r="32" spans="1:27" s="62" customFormat="1" ht="16" x14ac:dyDescent="0.2">
      <c r="A32" s="71" t="s">
        <v>363</v>
      </c>
      <c r="B32" s="72"/>
      <c r="C32" s="73"/>
      <c r="D32" s="73"/>
      <c r="E32" s="73"/>
      <c r="F32" s="72"/>
      <c r="G32" s="73"/>
      <c r="H32" s="73"/>
      <c r="I32" s="73"/>
      <c r="J32" s="72"/>
      <c r="K32" s="73"/>
      <c r="L32" s="73"/>
      <c r="M32" s="73"/>
      <c r="N32" s="330"/>
      <c r="O32" s="329"/>
      <c r="P32" s="74"/>
      <c r="Q32" s="132"/>
      <c r="R32" s="73"/>
      <c r="S32" s="66"/>
      <c r="T32" s="66"/>
      <c r="U32" s="66"/>
      <c r="V32" s="66"/>
      <c r="W32" s="66"/>
      <c r="X32" s="66"/>
      <c r="Y32" s="78"/>
      <c r="Z32" s="597"/>
    </row>
    <row r="33" spans="1:27" s="62" customFormat="1" ht="16" x14ac:dyDescent="0.2">
      <c r="A33" s="71" t="s">
        <v>364</v>
      </c>
      <c r="B33" s="72"/>
      <c r="C33" s="73"/>
      <c r="D33" s="73"/>
      <c r="E33" s="73"/>
      <c r="F33" s="72"/>
      <c r="G33" s="73"/>
      <c r="H33" s="73"/>
      <c r="I33" s="73"/>
      <c r="J33" s="72"/>
      <c r="K33" s="73"/>
      <c r="L33" s="73"/>
      <c r="M33" s="73"/>
      <c r="N33" s="330"/>
      <c r="O33" s="329"/>
      <c r="P33" s="73"/>
      <c r="Q33" s="66"/>
      <c r="R33" s="73"/>
      <c r="S33" s="66"/>
      <c r="T33" s="66"/>
      <c r="U33" s="66"/>
      <c r="V33" s="66"/>
      <c r="W33" s="66"/>
      <c r="X33" s="66"/>
      <c r="Y33" s="78"/>
      <c r="Z33" s="597"/>
    </row>
    <row r="34" spans="1:27" s="62" customFormat="1" ht="16" thickBot="1" x14ac:dyDescent="0.25">
      <c r="A34" s="71"/>
      <c r="B34" s="63"/>
      <c r="E34" s="63"/>
      <c r="F34" s="63"/>
      <c r="G34" s="63"/>
      <c r="Q34" s="63"/>
      <c r="R34" s="63"/>
      <c r="S34" s="63"/>
      <c r="T34" s="63"/>
      <c r="U34" s="63"/>
      <c r="V34" s="63"/>
      <c r="W34" s="63"/>
      <c r="X34" s="63"/>
      <c r="Y34" s="63"/>
      <c r="Z34" s="63"/>
      <c r="AA34" s="63"/>
    </row>
    <row r="35" spans="1:27" s="62" customFormat="1" ht="32" x14ac:dyDescent="0.2">
      <c r="A35" s="16" t="s">
        <v>399</v>
      </c>
      <c r="B35" s="165" t="s">
        <v>366</v>
      </c>
      <c r="C35" s="166" t="s">
        <v>367</v>
      </c>
      <c r="D35" s="166" t="s">
        <v>368</v>
      </c>
      <c r="E35" s="166" t="s">
        <v>369</v>
      </c>
      <c r="F35" s="166" t="s">
        <v>651</v>
      </c>
      <c r="G35" s="166" t="s">
        <v>652</v>
      </c>
      <c r="H35" s="166" t="s">
        <v>611</v>
      </c>
      <c r="I35" s="166" t="s">
        <v>390</v>
      </c>
      <c r="J35" s="166" t="s">
        <v>403</v>
      </c>
      <c r="K35" s="167" t="s">
        <v>653</v>
      </c>
      <c r="L35" s="167" t="s">
        <v>405</v>
      </c>
      <c r="M35" s="168" t="s">
        <v>654</v>
      </c>
      <c r="N35" s="63"/>
    </row>
    <row r="36" spans="1:27" s="62" customFormat="1" ht="16" x14ac:dyDescent="0.2">
      <c r="A36" s="71" t="s">
        <v>74</v>
      </c>
      <c r="B36" s="169">
        <v>0</v>
      </c>
      <c r="C36" s="122">
        <f>N30*(1-B36)</f>
        <v>3.2</v>
      </c>
      <c r="D36" s="178">
        <f>Q30*1/F4/G4</f>
        <v>0.35283125721977676</v>
      </c>
      <c r="E36" s="277">
        <f>O30*(1-D36)</f>
        <v>282.86636095640193</v>
      </c>
      <c r="F36" s="277">
        <f>SUM(W30)</f>
        <v>1.84</v>
      </c>
      <c r="G36" s="277">
        <f>SUM(X30)</f>
        <v>183.999</v>
      </c>
      <c r="H36" s="277">
        <f>SUM(F36,G36)</f>
        <v>185.839</v>
      </c>
      <c r="I36" s="90">
        <f>R30</f>
        <v>40</v>
      </c>
      <c r="J36" s="122">
        <f>PV('Master Inputs '!Benefit_Discount_Factor,I36,-1)</f>
        <v>23.114771974206437</v>
      </c>
      <c r="K36" s="128">
        <f>Q30</f>
        <v>1398.6651320208775</v>
      </c>
      <c r="L36" s="128">
        <f>IFERROR(K36+J21,"-")</f>
        <v>2100.4125156139189</v>
      </c>
      <c r="M36" s="179">
        <f>IFERROR(L36*J36/H36,"-")</f>
        <v>261.25063280681155</v>
      </c>
      <c r="N36" s="63"/>
      <c r="S36" s="62">
        <f>S30*1000</f>
        <v>1511</v>
      </c>
      <c r="T36" s="62">
        <f t="shared" ref="T36:X36" si="1">T30*1000</f>
        <v>119294</v>
      </c>
      <c r="U36" s="62">
        <f t="shared" si="1"/>
        <v>2321</v>
      </c>
      <c r="V36" s="62">
        <f t="shared" si="1"/>
        <v>223147</v>
      </c>
      <c r="W36" s="62">
        <f t="shared" si="1"/>
        <v>1840</v>
      </c>
      <c r="X36" s="62">
        <f t="shared" si="1"/>
        <v>183999</v>
      </c>
    </row>
    <row r="37" spans="1:27" s="62" customFormat="1" ht="16" x14ac:dyDescent="0.2">
      <c r="A37" s="71" t="s">
        <v>76</v>
      </c>
      <c r="B37" s="169">
        <v>0</v>
      </c>
      <c r="C37" s="122">
        <f>N31*(1-B37)</f>
        <v>2.4</v>
      </c>
      <c r="D37" s="178">
        <f>Q31*1/F3/G3</f>
        <v>0.19508645200181496</v>
      </c>
      <c r="E37" s="277">
        <f>O31*(1-D37)</f>
        <v>114.75689058404105</v>
      </c>
      <c r="F37" s="277">
        <f>SUM(W31)</f>
        <v>1.081</v>
      </c>
      <c r="G37" s="277">
        <f>SUM(X31)</f>
        <v>108.1</v>
      </c>
      <c r="H37" s="277">
        <f>SUM(F37,G37)</f>
        <v>109.181</v>
      </c>
      <c r="I37" s="90">
        <f>R31</f>
        <v>40</v>
      </c>
      <c r="J37" s="122">
        <f>PV('Master Inputs '!Benefit_Discount_Factor,I37,-1)</f>
        <v>23.114771974206437</v>
      </c>
      <c r="K37" s="128">
        <f>Q31</f>
        <v>342.16909143430087</v>
      </c>
      <c r="L37" s="128">
        <f>IFERROR(K37+J22,"-")</f>
        <v>593.75493789644327</v>
      </c>
      <c r="M37" s="179">
        <f>IFERROR(L37*J37/H37,"-")</f>
        <v>125.7041975988074</v>
      </c>
      <c r="N37" s="63"/>
      <c r="S37" s="62">
        <f>S31*1000</f>
        <v>887</v>
      </c>
      <c r="T37" s="62">
        <f t="shared" ref="T37:X37" si="2">T31*1000</f>
        <v>70061</v>
      </c>
      <c r="U37" s="62">
        <f t="shared" si="2"/>
        <v>1310</v>
      </c>
      <c r="V37" s="62">
        <f t="shared" si="2"/>
        <v>131055</v>
      </c>
      <c r="W37" s="62">
        <f t="shared" si="2"/>
        <v>1081</v>
      </c>
      <c r="X37" s="62">
        <f t="shared" si="2"/>
        <v>108100</v>
      </c>
    </row>
    <row r="38" spans="1:27" s="62" customFormat="1" ht="16" x14ac:dyDescent="0.2">
      <c r="A38" s="71" t="s">
        <v>363</v>
      </c>
      <c r="B38" s="171"/>
      <c r="C38" s="127"/>
      <c r="D38" s="127"/>
      <c r="E38" s="127"/>
      <c r="F38" s="127"/>
      <c r="G38" s="127"/>
      <c r="H38" s="127"/>
      <c r="I38" s="127"/>
      <c r="J38" s="127"/>
      <c r="K38" s="127"/>
      <c r="L38" s="127"/>
      <c r="M38" s="170"/>
      <c r="N38" s="63"/>
    </row>
    <row r="39" spans="1:27" s="62" customFormat="1" ht="17" thickBot="1" x14ac:dyDescent="0.25">
      <c r="A39" s="71" t="s">
        <v>364</v>
      </c>
      <c r="B39" s="172"/>
      <c r="C39" s="173"/>
      <c r="D39" s="173"/>
      <c r="E39" s="173"/>
      <c r="F39" s="173"/>
      <c r="G39" s="173"/>
      <c r="H39" s="174"/>
      <c r="I39" s="173"/>
      <c r="J39" s="174"/>
      <c r="K39" s="174"/>
      <c r="L39" s="174"/>
      <c r="M39" s="175"/>
      <c r="N39" s="63"/>
    </row>
    <row r="40" spans="1:27" s="62" customFormat="1" x14ac:dyDescent="0.2">
      <c r="N40" s="63"/>
      <c r="R40" s="593"/>
      <c r="S40" s="593"/>
      <c r="T40" s="593"/>
    </row>
    <row r="41" spans="1:27" s="62" customFormat="1" x14ac:dyDescent="0.2">
      <c r="K41" s="394"/>
      <c r="L41" s="394">
        <v>2022</v>
      </c>
      <c r="M41" s="394">
        <v>2023</v>
      </c>
      <c r="N41" s="589">
        <v>2024</v>
      </c>
      <c r="O41" s="63"/>
      <c r="P41" s="63"/>
      <c r="Q41" s="63"/>
      <c r="R41" s="63"/>
      <c r="S41" s="63"/>
      <c r="T41"/>
    </row>
    <row r="42" spans="1:27" s="62" customFormat="1" ht="16" x14ac:dyDescent="0.2">
      <c r="K42" s="394" t="s">
        <v>74</v>
      </c>
      <c r="L42" s="394">
        <v>1409</v>
      </c>
      <c r="M42" s="394">
        <f>M44*L46</f>
        <v>1567.5333596525859</v>
      </c>
      <c r="N42" s="589">
        <f>N44*L46</f>
        <v>1567.5333596525859</v>
      </c>
      <c r="O42" s="63"/>
      <c r="P42" s="63"/>
      <c r="Q42" s="63"/>
      <c r="R42" s="63"/>
      <c r="S42" s="63"/>
      <c r="T42" s="593"/>
    </row>
    <row r="43" spans="1:27" s="62" customFormat="1" ht="16" x14ac:dyDescent="0.2">
      <c r="A43" s="106"/>
      <c r="B43" s="106"/>
      <c r="C43" s="106"/>
      <c r="F43" s="106"/>
      <c r="G43" s="106"/>
      <c r="K43" s="394" t="s">
        <v>76</v>
      </c>
      <c r="L43" s="394">
        <v>1124</v>
      </c>
      <c r="M43" s="394">
        <f>M44*L47</f>
        <v>1250.4666403474141</v>
      </c>
      <c r="N43" s="589">
        <f>N44*L47</f>
        <v>1250.4666403474141</v>
      </c>
      <c r="O43" s="63" t="s">
        <v>797</v>
      </c>
      <c r="P43" s="63" t="s">
        <v>798</v>
      </c>
      <c r="Q43" s="63"/>
      <c r="R43" s="63"/>
      <c r="S43" s="63"/>
    </row>
    <row r="44" spans="1:27" ht="16" x14ac:dyDescent="0.2">
      <c r="K44" s="394" t="s">
        <v>255</v>
      </c>
      <c r="L44" s="394">
        <v>2533</v>
      </c>
      <c r="M44" s="394">
        <v>2818</v>
      </c>
      <c r="N44" s="589">
        <v>2818</v>
      </c>
      <c r="O44" s="63">
        <v>3382</v>
      </c>
      <c r="P44" s="63">
        <f>3382*125/150</f>
        <v>2818.3333333333335</v>
      </c>
    </row>
    <row r="45" spans="1:27" x14ac:dyDescent="0.2">
      <c r="K45" s="394"/>
      <c r="L45" s="394"/>
      <c r="M45" s="394"/>
      <c r="N45" s="589"/>
    </row>
    <row r="46" spans="1:27" ht="16" x14ac:dyDescent="0.2">
      <c r="K46" s="394" t="s">
        <v>655</v>
      </c>
      <c r="L46" s="394">
        <f>L42/L44</f>
        <v>0.55625740228977494</v>
      </c>
      <c r="M46" s="394"/>
      <c r="N46" s="589"/>
    </row>
    <row r="47" spans="1:27" ht="16" x14ac:dyDescent="0.2">
      <c r="K47" s="394" t="s">
        <v>656</v>
      </c>
      <c r="L47" s="394">
        <f>L43/L44</f>
        <v>0.44374259771022501</v>
      </c>
      <c r="M47" s="394"/>
      <c r="N47" s="589"/>
    </row>
    <row r="50" spans="11:21" x14ac:dyDescent="0.2">
      <c r="P50" s="63" t="s">
        <v>657</v>
      </c>
    </row>
    <row r="51" spans="11:21" ht="48" x14ac:dyDescent="0.2">
      <c r="K51" s="59" t="s">
        <v>645</v>
      </c>
      <c r="L51" s="59" t="s">
        <v>375</v>
      </c>
      <c r="M51" s="59" t="s">
        <v>376</v>
      </c>
      <c r="N51" s="59" t="s">
        <v>646</v>
      </c>
      <c r="O51" s="69" t="s">
        <v>658</v>
      </c>
      <c r="P51" s="589" t="s">
        <v>659</v>
      </c>
      <c r="Q51" s="589" t="s">
        <v>660</v>
      </c>
      <c r="R51" s="589" t="s">
        <v>661</v>
      </c>
      <c r="S51" s="589" t="s">
        <v>662</v>
      </c>
    </row>
    <row r="52" spans="11:21" x14ac:dyDescent="0.2">
      <c r="K52" s="73">
        <v>1190</v>
      </c>
      <c r="L52" s="73">
        <v>106</v>
      </c>
      <c r="M52" s="73">
        <v>0</v>
      </c>
      <c r="N52" s="73">
        <v>0</v>
      </c>
      <c r="O52" s="589">
        <f>SUM(K52:N52)</f>
        <v>1296</v>
      </c>
      <c r="P52" s="589">
        <f>K52/1296</f>
        <v>0.91820987654320985</v>
      </c>
      <c r="Q52" s="589">
        <f>L52/1296</f>
        <v>8.1790123456790126E-2</v>
      </c>
      <c r="R52" s="589">
        <f>M52/1296</f>
        <v>0</v>
      </c>
      <c r="S52" s="589">
        <f>N52/1296</f>
        <v>0</v>
      </c>
    </row>
    <row r="53" spans="11:21" x14ac:dyDescent="0.2">
      <c r="K53" s="73">
        <v>5827</v>
      </c>
      <c r="L53" s="73">
        <v>68</v>
      </c>
      <c r="M53" s="73">
        <v>0</v>
      </c>
      <c r="N53" s="73">
        <v>1</v>
      </c>
      <c r="O53" s="589">
        <f>SUM(K53:N53)</f>
        <v>5896</v>
      </c>
      <c r="P53" s="589">
        <f>K53/5896</f>
        <v>0.98829715061058343</v>
      </c>
      <c r="Q53" s="589">
        <f>L53/5896</f>
        <v>1.1533242876526458E-2</v>
      </c>
      <c r="R53" s="589">
        <f>M53/5896</f>
        <v>0</v>
      </c>
      <c r="S53" s="589">
        <f>N53/5896</f>
        <v>1.6960651289009497E-4</v>
      </c>
    </row>
    <row r="59" spans="11:21" x14ac:dyDescent="0.2">
      <c r="L59" s="382"/>
      <c r="M59" s="382" t="s">
        <v>415</v>
      </c>
      <c r="N59" s="382" t="s">
        <v>416</v>
      </c>
      <c r="O59" s="382" t="s">
        <v>417</v>
      </c>
      <c r="P59" s="382" t="s">
        <v>418</v>
      </c>
      <c r="R59" s="63">
        <v>2024</v>
      </c>
      <c r="S59" s="63">
        <v>2025</v>
      </c>
      <c r="T59" s="63">
        <v>2026</v>
      </c>
      <c r="U59" s="63">
        <v>2027</v>
      </c>
    </row>
    <row r="60" spans="11:21" ht="34" x14ac:dyDescent="0.2">
      <c r="L60" s="678" t="s">
        <v>419</v>
      </c>
      <c r="M60" s="679">
        <v>6.7849999999999994E-2</v>
      </c>
      <c r="N60" s="680">
        <v>1.6652255938304439E-2</v>
      </c>
      <c r="O60" s="680">
        <v>2.1068244683025483E-2</v>
      </c>
      <c r="P60" s="680">
        <v>2.2648989055561231E-2</v>
      </c>
      <c r="Q60" s="63" t="s">
        <v>74</v>
      </c>
      <c r="R60" s="63">
        <f>+W30*(1+$M$60)</f>
        <v>1.964844</v>
      </c>
      <c r="S60" s="63">
        <f>+R60*(1+$N$60)</f>
        <v>1.9975630851668418</v>
      </c>
      <c r="T60" s="63">
        <f>+S60*(1+$O$60)</f>
        <v>2.0396482330149159</v>
      </c>
      <c r="U60" s="63">
        <f>+T60*(1+$P$60)</f>
        <v>2.0858442035216656</v>
      </c>
    </row>
    <row r="61" spans="11:21" ht="51" x14ac:dyDescent="0.2">
      <c r="L61" s="678" t="s">
        <v>420</v>
      </c>
      <c r="M61" s="679">
        <v>0.1133</v>
      </c>
      <c r="N61" s="680">
        <v>1.2535769118655393E-2</v>
      </c>
      <c r="O61" s="680">
        <v>1.6396133850047567E-2</v>
      </c>
      <c r="P61" s="680">
        <v>2.1124776835969028E-2</v>
      </c>
      <c r="Q61" s="63" t="s">
        <v>76</v>
      </c>
      <c r="R61" s="63">
        <f>+W31*(1+$M$60)</f>
        <v>1.1543458499999999</v>
      </c>
      <c r="S61" s="63">
        <f>+R61*(1+$N$60)</f>
        <v>1.1735683125355194</v>
      </c>
      <c r="T61" s="63">
        <f>+S61*(1+$O$60)</f>
        <v>1.1982933368962632</v>
      </c>
      <c r="U61" s="63">
        <f>+T61*(1+$P$60)</f>
        <v>1.2254334695689786</v>
      </c>
    </row>
    <row r="63" spans="11:21" x14ac:dyDescent="0.2">
      <c r="Q63" s="63" t="s">
        <v>74</v>
      </c>
      <c r="R63" s="63">
        <f>+X30*(1+$M$61)</f>
        <v>204.8460867</v>
      </c>
      <c r="S63" s="63">
        <f>+R63*(1+$N$61)</f>
        <v>207.41398994773127</v>
      </c>
      <c r="T63" s="63">
        <f>+S63*(1+$O$61)</f>
        <v>210.81477748928668</v>
      </c>
      <c r="U63" s="63">
        <f>+T63*(1+$P$61)</f>
        <v>215.26819261747232</v>
      </c>
    </row>
    <row r="64" spans="11:21" x14ac:dyDescent="0.2">
      <c r="Q64" s="63" t="s">
        <v>76</v>
      </c>
      <c r="R64" s="63">
        <f>+X31*(1+$M$61)</f>
        <v>120.34772999999998</v>
      </c>
      <c r="S64" s="63">
        <f>+R64*(1+$N$61)</f>
        <v>121.85638135723426</v>
      </c>
      <c r="T64" s="63">
        <f>+S64*(1+$O$61)</f>
        <v>123.85435489644991</v>
      </c>
      <c r="U64" s="63">
        <f>+T64*(1+$P$61)</f>
        <v>126.47075050380032</v>
      </c>
    </row>
  </sheetData>
  <mergeCells count="4">
    <mergeCell ref="A2:A8"/>
    <mergeCell ref="B2:B8"/>
    <mergeCell ref="C2:C8"/>
    <mergeCell ref="N3:Q3"/>
  </mergeCells>
  <dataValidations disablePrompts="1" count="1">
    <dataValidation type="list" allowBlank="1" showInputMessage="1" showErrorMessage="1" sqref="E2:E8" xr:uid="{2BC60A7A-FAF1-4BA4-903C-82FA19BC509E}">
      <formula1>Answer</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B346-04D0-48CC-8928-C6C52B29CD43}">
  <sheetPr>
    <tabColor rgb="FF00B0F0"/>
  </sheetPr>
  <dimension ref="A1:AB54"/>
  <sheetViews>
    <sheetView topLeftCell="F11" zoomScale="90" zoomScaleNormal="90" workbookViewId="0">
      <selection activeCell="O17" sqref="O17"/>
    </sheetView>
  </sheetViews>
  <sheetFormatPr baseColWidth="10" defaultColWidth="8.6640625" defaultRowHeight="15" x14ac:dyDescent="0.2"/>
  <cols>
    <col min="1" max="1" width="20.5" style="62" customWidth="1"/>
    <col min="2" max="5" width="15.5" style="62" customWidth="1"/>
    <col min="6" max="6" width="17.6640625" style="62" customWidth="1"/>
    <col min="7" max="11" width="15.5" style="62" customWidth="1"/>
    <col min="12" max="19" width="14.5" style="63" customWidth="1"/>
    <col min="20" max="20" width="12.5" style="63" customWidth="1"/>
    <col min="21" max="22" width="20.33203125" style="63" customWidth="1"/>
    <col min="23" max="23" width="10.6640625" style="63" customWidth="1"/>
    <col min="24" max="26" width="19.33203125" style="63" customWidth="1"/>
    <col min="27" max="28" width="8.6640625" style="63" bestFit="1" customWidth="1"/>
    <col min="29" max="16384" width="8.6640625" style="63"/>
  </cols>
  <sheetData>
    <row r="1" spans="1:28" ht="32" x14ac:dyDescent="0.2">
      <c r="A1" s="32" t="s">
        <v>344</v>
      </c>
      <c r="B1" s="33" t="s">
        <v>345</v>
      </c>
      <c r="C1" s="33" t="s">
        <v>346</v>
      </c>
      <c r="D1" s="33" t="s">
        <v>347</v>
      </c>
      <c r="E1" s="33" t="s">
        <v>348</v>
      </c>
      <c r="F1" s="33" t="s">
        <v>349</v>
      </c>
      <c r="G1" s="33" t="s">
        <v>350</v>
      </c>
      <c r="H1" s="33" t="s">
        <v>351</v>
      </c>
      <c r="I1" s="33" t="s">
        <v>352</v>
      </c>
      <c r="J1" s="33" t="s">
        <v>353</v>
      </c>
      <c r="K1" s="70" t="s">
        <v>354</v>
      </c>
      <c r="L1" s="33" t="s">
        <v>355</v>
      </c>
    </row>
    <row r="2" spans="1:28" ht="35.25" customHeight="1" x14ac:dyDescent="0.2">
      <c r="A2" s="810" t="s">
        <v>663</v>
      </c>
      <c r="B2" s="813" t="s">
        <v>664</v>
      </c>
      <c r="C2" s="813" t="s">
        <v>508</v>
      </c>
      <c r="D2" s="44" t="s">
        <v>337</v>
      </c>
      <c r="E2" s="46" t="s">
        <v>359</v>
      </c>
      <c r="F2" s="35" t="str">
        <f>IF($E2="Yes",VLOOKUP($D2,Master_Table!$B$3:$I$9,2,TRUE),"N/A")</f>
        <v>N/A</v>
      </c>
      <c r="G2" s="35" t="str">
        <f>IF($E2="Yes",VLOOKUP($D2,Master_Table!$B$3:$I$9,3,TRUE),"N/A")</f>
        <v>N/A</v>
      </c>
      <c r="H2" s="35" t="str">
        <f>IF($E2="Yes",VLOOKUP($D2,Master_Table!$B$3:$I$9,4,TRUE),"N/A")</f>
        <v>N/A</v>
      </c>
      <c r="I2" s="35" t="str">
        <f>IF($E2="Yes",VLOOKUP($D2,Master_Table!$B$3:$I$9,5,TRUE),"N/A")</f>
        <v>N/A</v>
      </c>
      <c r="J2" s="35" t="str">
        <f>IF($E2="Yes",VLOOKUP($D2,Master_Table!$B$3:$I$9,6,TRUE),"N/A")</f>
        <v>N/A</v>
      </c>
      <c r="K2" s="35" t="str">
        <f>IF($E2="Yes",VLOOKUP($D2,Master_Table!$B$3:$I$9,7,TRUE),"N/A")</f>
        <v>N/A</v>
      </c>
      <c r="L2" s="35" t="str">
        <f>IF($E2="Yes",VLOOKUP($D2,Master_Table!$B$3:$I$9,8,TRUE),"N/A")</f>
        <v>N/A</v>
      </c>
    </row>
    <row r="3" spans="1:28" ht="35.25" customHeight="1" x14ac:dyDescent="0.2">
      <c r="A3" s="811"/>
      <c r="B3" s="814"/>
      <c r="C3" s="814"/>
      <c r="D3" s="45" t="s">
        <v>338</v>
      </c>
      <c r="E3" s="46" t="s">
        <v>359</v>
      </c>
      <c r="F3" s="35" t="str">
        <f>IF($E3="Yes",VLOOKUP($D3,Master_Table!$B$3:$I$9,2,TRUE),"N/A")</f>
        <v>N/A</v>
      </c>
      <c r="G3" s="35" t="str">
        <f>IF($E3="Yes",VLOOKUP($D3,Master_Table!$B$3:$I$9,3,TRUE),"N/A")</f>
        <v>N/A</v>
      </c>
      <c r="H3" s="35" t="str">
        <f>IF($E3="Yes",VLOOKUP($D3,Master_Table!$B$3:$I$9,4,TRUE),"N/A")</f>
        <v>N/A</v>
      </c>
      <c r="I3" s="35" t="str">
        <f>IF($E3="Yes",VLOOKUP($D3,Master_Table!$B$3:$I$9,5,TRUE),"N/A")</f>
        <v>N/A</v>
      </c>
      <c r="J3" s="35" t="str">
        <f>IF($E3="Yes",VLOOKUP($D3,Master_Table!$B$3:$I$9,6,TRUE),"N/A")</f>
        <v>N/A</v>
      </c>
      <c r="K3" s="35" t="str">
        <f>IF($E3="Yes",VLOOKUP($D3,Master_Table!$B$3:$I$9,7,TRUE),"N/A")</f>
        <v>N/A</v>
      </c>
      <c r="L3" s="35" t="str">
        <f>IF($E3="Yes",VLOOKUP($D3,Master_Table!$B$3:$I$9,8,TRUE),"N/A")</f>
        <v>N/A</v>
      </c>
    </row>
    <row r="4" spans="1:28" ht="35.25" customHeight="1" x14ac:dyDescent="0.2">
      <c r="A4" s="811"/>
      <c r="B4" s="814"/>
      <c r="C4" s="814"/>
      <c r="D4" s="45" t="s">
        <v>339</v>
      </c>
      <c r="E4" s="46" t="s">
        <v>359</v>
      </c>
      <c r="F4" s="35" t="str">
        <f>IF($E4="Yes",VLOOKUP($D4,Master_Table!$B$3:$I$9,2,TRUE),"N/A")</f>
        <v>N/A</v>
      </c>
      <c r="G4" s="35" t="str">
        <f>IF($E4="Yes",VLOOKUP($D4,Master_Table!$B$3:$I$9,3,TRUE),"N/A")</f>
        <v>N/A</v>
      </c>
      <c r="H4" s="35" t="str">
        <f>IF($E4="Yes",VLOOKUP($D4,Master_Table!$B$3:$I$9,4,TRUE),"N/A")</f>
        <v>N/A</v>
      </c>
      <c r="I4" s="35" t="str">
        <f>IF($E4="Yes",VLOOKUP($D4,Master_Table!$B$3:$I$9,5,TRUE),"N/A")</f>
        <v>N/A</v>
      </c>
      <c r="J4" s="35" t="str">
        <f>IF($E4="Yes",VLOOKUP($D4,Master_Table!$B$3:$I$9,6,TRUE),"N/A")</f>
        <v>N/A</v>
      </c>
      <c r="K4" s="35" t="str">
        <f>IF($E4="Yes",VLOOKUP($D4,Master_Table!$B$3:$I$9,7,TRUE),"N/A")</f>
        <v>N/A</v>
      </c>
      <c r="L4" s="35" t="str">
        <f>IF($E4="Yes",VLOOKUP($D4,Master_Table!$B$3:$I$9,8,TRUE),"N/A")</f>
        <v>N/A</v>
      </c>
    </row>
    <row r="5" spans="1:28" ht="35.25" customHeight="1" x14ac:dyDescent="0.2">
      <c r="A5" s="811"/>
      <c r="B5" s="814"/>
      <c r="C5" s="814"/>
      <c r="D5" s="45" t="s">
        <v>340</v>
      </c>
      <c r="E5" s="46" t="s">
        <v>360</v>
      </c>
      <c r="F5" s="35">
        <f>IF($E5="Yes",VLOOKUP($D5,Master_Table!$B$3:$I$9,2,TRUE),"N/A")</f>
        <v>7.2</v>
      </c>
      <c r="G5" s="35">
        <f>IF($E5="Yes",VLOOKUP($D5,Master_Table!$B$3:$I$9,3,TRUE),"N/A")</f>
        <v>34.464486904354189</v>
      </c>
      <c r="H5" s="35">
        <f>IF($E5="Yes",VLOOKUP($D5,Master_Table!$B$3:$I$9,4,TRUE),"N/A")</f>
        <v>12.22097500038122</v>
      </c>
      <c r="I5" s="35">
        <f>IF($E5="Yes",VLOOKUP($D5,Master_Table!$B$3:$I$9,5,TRUE),"N/A")</f>
        <v>2.875</v>
      </c>
      <c r="J5" s="35">
        <f>IF($E5="Yes",VLOOKUP($D5,Master_Table!$B$3:$I$9,6,TRUE),"N/A")</f>
        <v>19.368511903972969</v>
      </c>
      <c r="K5" s="35">
        <f>IF($E5="Yes",VLOOKUP($D5,Master_Table!$B$3:$I$9,7,TRUE),"N/A")</f>
        <v>0</v>
      </c>
      <c r="L5" s="35">
        <f>IF($E5="Yes",VLOOKUP($D5,Master_Table!$B$3:$I$9,8,TRUE),"N/A")</f>
        <v>248.14430571135017</v>
      </c>
    </row>
    <row r="6" spans="1:28" ht="35.25" customHeight="1" x14ac:dyDescent="0.2">
      <c r="A6" s="811"/>
      <c r="B6" s="814"/>
      <c r="C6" s="814"/>
      <c r="D6" s="45" t="s">
        <v>341</v>
      </c>
      <c r="E6" s="46" t="s">
        <v>359</v>
      </c>
      <c r="F6" s="35" t="str">
        <f>IF($E6="Yes",VLOOKUP($D6,Master_Table!$B$3:$I$9,2,TRUE),"N/A")</f>
        <v>N/A</v>
      </c>
      <c r="G6" s="35" t="str">
        <f>IF($E6="Yes",VLOOKUP($D6,Master_Table!$B$3:$I$9,3,TRUE),"N/A")</f>
        <v>N/A</v>
      </c>
      <c r="H6" s="35" t="str">
        <f>IF($E6="Yes",VLOOKUP($D6,Master_Table!$B$3:$I$9,4,TRUE),"N/A")</f>
        <v>N/A</v>
      </c>
      <c r="I6" s="35" t="str">
        <f>IF($E6="Yes",VLOOKUP($D6,Master_Table!$B$3:$I$9,5,TRUE),"N/A")</f>
        <v>N/A</v>
      </c>
      <c r="J6" s="35" t="str">
        <f>IF($E6="Yes",VLOOKUP($D6,Master_Table!$B$3:$I$9,6,TRUE),"N/A")</f>
        <v>N/A</v>
      </c>
      <c r="K6" s="35" t="str">
        <f>IF($E6="Yes",VLOOKUP($D6,Master_Table!$B$3:$I$9,7,TRUE),"N/A")</f>
        <v>N/A</v>
      </c>
      <c r="L6" s="35" t="str">
        <f>IF($E6="Yes",VLOOKUP($D6,Master_Table!$B$3:$I$9,8,TRUE),"N/A")</f>
        <v>N/A</v>
      </c>
    </row>
    <row r="7" spans="1:28" ht="35.25" customHeight="1" x14ac:dyDescent="0.2">
      <c r="A7" s="811"/>
      <c r="B7" s="814"/>
      <c r="C7" s="814"/>
      <c r="D7" s="45" t="s">
        <v>342</v>
      </c>
      <c r="E7" s="46" t="s">
        <v>360</v>
      </c>
      <c r="F7" s="35">
        <f>IF($E7="Yes",VLOOKUP($D7,Master_Table!$B$3:$I$9,2,TRUE),"N/A")</f>
        <v>5.8</v>
      </c>
      <c r="G7" s="58">
        <f>IF($E7="Yes",VLOOKUP($D7,Master_Table!$B$3:$I$9,3,TRUE),"N/A")</f>
        <v>955.12197700150455</v>
      </c>
      <c r="H7" s="58">
        <f>IF($E7="Yes",VLOOKUP($D7,Master_Table!$B$3:$I$9,4,TRUE),"N/A")</f>
        <v>348.02866591505182</v>
      </c>
      <c r="I7" s="58">
        <f>IF($E7="Yes",VLOOKUP($D7,Master_Table!$B$3:$I$9,5,TRUE),"N/A")</f>
        <v>55.517241379310356</v>
      </c>
      <c r="J7" s="58">
        <f>IF($E7="Yes",VLOOKUP($D7,Master_Table!$B$3:$I$9,6,TRUE),"N/A")</f>
        <v>551.57606970714232</v>
      </c>
      <c r="K7" s="58">
        <f>IF($E7="Yes",VLOOKUP($D7,Master_Table!$B$3:$I$9,7,TRUE),"N/A")</f>
        <v>0</v>
      </c>
      <c r="L7" s="58">
        <f>IF($E7="Yes",VLOOKUP($D7,Master_Table!$B$3:$I$9,8,TRUE),"N/A")</f>
        <v>5539.7074666087265</v>
      </c>
    </row>
    <row r="8" spans="1:28" ht="35.25" customHeight="1" x14ac:dyDescent="0.2">
      <c r="A8" s="812"/>
      <c r="B8" s="815"/>
      <c r="C8" s="815"/>
      <c r="D8" s="45" t="s">
        <v>343</v>
      </c>
      <c r="E8" s="46" t="s">
        <v>360</v>
      </c>
      <c r="F8" s="35">
        <f>IF($E8="Yes",VLOOKUP($D8,Master_Table!$B$3:$I$9,2,TRUE),"N/A")</f>
        <v>6.2</v>
      </c>
      <c r="G8" s="58">
        <f>IF($E8="Yes",VLOOKUP($D8,Master_Table!$B$3:$I$9,3,TRUE),"N/A")</f>
        <v>1562.1690689806242</v>
      </c>
      <c r="H8" s="58">
        <f>IF($E8="Yes",VLOOKUP($D8,Master_Table!$B$3:$I$9,4,TRUE),"N/A")</f>
        <v>569.91011575644086</v>
      </c>
      <c r="I8" s="58">
        <f>IF($E8="Yes",VLOOKUP($D8,Master_Table!$B$3:$I$9,5,TRUE),"N/A")</f>
        <v>89.032258064516128</v>
      </c>
      <c r="J8" s="58">
        <f>IF($E8="Yes",VLOOKUP($D8,Master_Table!$B$3:$I$9,6,TRUE),"N/A")</f>
        <v>903.22669515966732</v>
      </c>
      <c r="K8" s="58">
        <f>IF($E8="Yes",VLOOKUP($D8,Master_Table!$B$3:$I$9,7,TRUE),"N/A")</f>
        <v>0</v>
      </c>
      <c r="L8" s="58">
        <f>IF($E8="Yes",VLOOKUP($D8,Master_Table!$B$3:$I$9,8,TRUE),"N/A")</f>
        <v>9685.4482276798699</v>
      </c>
    </row>
    <row r="9" spans="1:28" ht="25.5" customHeight="1" x14ac:dyDescent="0.2">
      <c r="A9" s="675"/>
      <c r="B9" s="36"/>
      <c r="C9" s="36"/>
    </row>
    <row r="10" spans="1:28" ht="31.5" customHeight="1" x14ac:dyDescent="0.2">
      <c r="A10" s="676"/>
      <c r="B10" s="36"/>
      <c r="C10" s="55"/>
      <c r="D10" s="805"/>
      <c r="E10" s="805"/>
    </row>
    <row r="11" spans="1:28" ht="25.5" customHeight="1" x14ac:dyDescent="0.2">
      <c r="A11" s="36"/>
      <c r="B11" s="36"/>
      <c r="C11" s="36"/>
    </row>
    <row r="12" spans="1:28" s="62" customFormat="1" ht="51.75" customHeight="1" x14ac:dyDescent="0.2">
      <c r="A12" s="37" t="s">
        <v>361</v>
      </c>
      <c r="B12" s="60" t="s">
        <v>665</v>
      </c>
      <c r="C12" s="59" t="s">
        <v>567</v>
      </c>
      <c r="D12" s="59" t="s">
        <v>666</v>
      </c>
      <c r="E12" s="59" t="s">
        <v>225</v>
      </c>
      <c r="F12" s="59" t="s">
        <v>667</v>
      </c>
      <c r="G12" s="59" t="s">
        <v>668</v>
      </c>
      <c r="H12" s="59" t="s">
        <v>669</v>
      </c>
      <c r="I12" s="59" t="s">
        <v>670</v>
      </c>
      <c r="J12" s="59" t="s">
        <v>671</v>
      </c>
      <c r="K12" s="59" t="s">
        <v>672</v>
      </c>
      <c r="L12" s="59" t="s">
        <v>673</v>
      </c>
      <c r="M12" s="59" t="s">
        <v>674</v>
      </c>
      <c r="N12" s="59" t="s">
        <v>675</v>
      </c>
      <c r="O12" s="59" t="s">
        <v>676</v>
      </c>
      <c r="P12" s="59" t="s">
        <v>677</v>
      </c>
      <c r="Q12" s="59" t="s">
        <v>678</v>
      </c>
      <c r="R12" s="59" t="s">
        <v>392</v>
      </c>
      <c r="S12" s="59" t="s">
        <v>679</v>
      </c>
      <c r="T12" s="59" t="s">
        <v>394</v>
      </c>
      <c r="U12" s="59" t="s">
        <v>680</v>
      </c>
      <c r="V12" s="59" t="s">
        <v>650</v>
      </c>
      <c r="W12" s="64" t="s">
        <v>638</v>
      </c>
      <c r="X12" s="63"/>
      <c r="Y12" s="63"/>
      <c r="Z12" s="63"/>
      <c r="AA12" s="63"/>
      <c r="AB12" s="63"/>
    </row>
    <row r="13" spans="1:28" s="62" customFormat="1" ht="51.75" customHeight="1" x14ac:dyDescent="0.2">
      <c r="A13" s="37" t="s">
        <v>72</v>
      </c>
      <c r="B13" s="50" t="s">
        <v>397</v>
      </c>
      <c r="C13" s="50" t="s">
        <v>397</v>
      </c>
      <c r="D13" s="50" t="s">
        <v>397</v>
      </c>
      <c r="E13" s="66" t="s">
        <v>398</v>
      </c>
      <c r="F13" s="50" t="s">
        <v>397</v>
      </c>
      <c r="G13" s="66" t="s">
        <v>681</v>
      </c>
      <c r="H13" s="66" t="s">
        <v>682</v>
      </c>
      <c r="I13" s="66" t="s">
        <v>398</v>
      </c>
      <c r="J13" s="66" t="s">
        <v>398</v>
      </c>
      <c r="K13" s="50" t="s">
        <v>397</v>
      </c>
      <c r="L13" s="66" t="s">
        <v>398</v>
      </c>
      <c r="M13" s="50" t="s">
        <v>397</v>
      </c>
      <c r="N13" s="66" t="s">
        <v>398</v>
      </c>
      <c r="O13" s="50" t="s">
        <v>397</v>
      </c>
      <c r="P13" s="66" t="s">
        <v>398</v>
      </c>
      <c r="Q13" s="50" t="s">
        <v>397</v>
      </c>
      <c r="R13" s="50" t="s">
        <v>397</v>
      </c>
      <c r="S13" s="50" t="s">
        <v>397</v>
      </c>
      <c r="T13" s="50" t="s">
        <v>397</v>
      </c>
      <c r="U13" s="50" t="s">
        <v>397</v>
      </c>
      <c r="V13" s="50" t="s">
        <v>397</v>
      </c>
      <c r="W13" s="451" t="s">
        <v>397</v>
      </c>
      <c r="X13" s="63"/>
      <c r="Y13" s="63"/>
      <c r="Z13" s="63"/>
      <c r="AA13" s="63"/>
      <c r="AB13" s="63"/>
    </row>
    <row r="14" spans="1:28" s="62" customFormat="1" ht="84" customHeight="1" x14ac:dyDescent="0.2">
      <c r="A14" s="37"/>
      <c r="B14" s="37"/>
      <c r="C14" s="37"/>
      <c r="D14" s="37"/>
      <c r="E14" s="37"/>
      <c r="F14" s="37"/>
      <c r="G14" s="37"/>
      <c r="H14" s="37"/>
      <c r="I14" s="37"/>
      <c r="J14" s="37"/>
      <c r="K14" s="37"/>
      <c r="L14" s="37"/>
      <c r="M14" s="37"/>
      <c r="N14" s="37"/>
      <c r="O14" s="37"/>
      <c r="P14" s="37"/>
      <c r="Q14" s="37"/>
      <c r="R14" s="592"/>
      <c r="S14" s="592"/>
      <c r="T14" s="592"/>
      <c r="U14" s="592"/>
      <c r="V14" s="592"/>
      <c r="W14" s="37"/>
      <c r="X14" s="63"/>
      <c r="Y14" s="63"/>
      <c r="Z14" s="63"/>
      <c r="AA14" s="63"/>
      <c r="AB14" s="63"/>
    </row>
    <row r="15" spans="1:28" ht="16" x14ac:dyDescent="0.2">
      <c r="A15" s="71" t="s">
        <v>74</v>
      </c>
      <c r="B15" s="77">
        <f>B18*48%</f>
        <v>6.4799999999999995</v>
      </c>
      <c r="C15" s="77">
        <v>283.89999999999998</v>
      </c>
      <c r="D15" s="73">
        <v>412.8</v>
      </c>
      <c r="E15" s="66">
        <f>B18*48%</f>
        <v>6.4799999999999995</v>
      </c>
      <c r="F15" s="77">
        <f>B15*(1-64.5%)</f>
        <v>2.3003999999999998</v>
      </c>
      <c r="G15" s="482">
        <f>'Master Inputs '!V50</f>
        <v>4.2979942693409698E-2</v>
      </c>
      <c r="H15" s="66">
        <f>G15*E15</f>
        <v>0.27851002865329483</v>
      </c>
      <c r="I15" s="66">
        <f>G15*F15</f>
        <v>9.8871060171919656E-2</v>
      </c>
      <c r="J15" s="66">
        <f>H15-I15</f>
        <v>0.17963896848137517</v>
      </c>
      <c r="K15" s="77">
        <v>49</v>
      </c>
      <c r="L15" s="66">
        <f>J15*K15/100</f>
        <v>8.8023094555873843E-2</v>
      </c>
      <c r="M15" s="77">
        <v>82</v>
      </c>
      <c r="N15" s="66">
        <f>M15*J15/100</f>
        <v>0.14730395415472763</v>
      </c>
      <c r="O15" s="77">
        <v>49</v>
      </c>
      <c r="P15" s="66">
        <f>O15*J15/100</f>
        <v>8.8023094555873843E-2</v>
      </c>
      <c r="Q15" s="338">
        <f>971/1000</f>
        <v>0.97099999999999997</v>
      </c>
      <c r="R15" s="338">
        <f>102207/1000</f>
        <v>102.20699999999999</v>
      </c>
      <c r="S15" s="338">
        <f>1237/1000</f>
        <v>1.2370000000000001</v>
      </c>
      <c r="T15" s="452">
        <f>123715/1000</f>
        <v>123.715</v>
      </c>
      <c r="U15" s="338">
        <v>0.48499999999999999</v>
      </c>
      <c r="V15" s="452">
        <v>48.558</v>
      </c>
      <c r="W15" s="456">
        <v>40</v>
      </c>
      <c r="X15" s="63">
        <v>0.82</v>
      </c>
    </row>
    <row r="16" spans="1:28" ht="16" x14ac:dyDescent="0.2">
      <c r="A16" s="71" t="s">
        <v>76</v>
      </c>
      <c r="B16" s="77">
        <f>13.5*52%</f>
        <v>7.0200000000000005</v>
      </c>
      <c r="C16" s="77">
        <v>283.89999999999998</v>
      </c>
      <c r="D16" s="73">
        <v>412.8</v>
      </c>
      <c r="E16" s="572">
        <f>B18*52%</f>
        <v>7.0200000000000005</v>
      </c>
      <c r="F16" s="77">
        <f>B16*(1-64.5%)</f>
        <v>2.4921000000000002</v>
      </c>
      <c r="G16" s="482">
        <f>'Master Inputs '!V49</f>
        <v>4.3282236248872855E-2</v>
      </c>
      <c r="H16" s="66">
        <f>G16*E16</f>
        <v>0.30384129846708746</v>
      </c>
      <c r="I16" s="66">
        <f>G16*F16</f>
        <v>0.10786366095581605</v>
      </c>
      <c r="J16" s="66">
        <f>H16-I16</f>
        <v>0.1959776375112714</v>
      </c>
      <c r="K16" s="77">
        <v>11</v>
      </c>
      <c r="L16" s="66">
        <f>J16*K16/100</f>
        <v>2.1557540126239852E-2</v>
      </c>
      <c r="M16" s="77">
        <v>18</v>
      </c>
      <c r="N16" s="66">
        <f>M16*J16/100</f>
        <v>3.5275974752028851E-2</v>
      </c>
      <c r="O16" s="77">
        <v>11</v>
      </c>
      <c r="P16" s="66">
        <f>O16*J16/100</f>
        <v>2.1557540126239852E-2</v>
      </c>
      <c r="Q16" s="338">
        <f>218/1000</f>
        <v>0.218</v>
      </c>
      <c r="R16" s="338">
        <f>22435/1000</f>
        <v>22.434999999999999</v>
      </c>
      <c r="S16" s="338">
        <f>272/1000</f>
        <v>0.27200000000000002</v>
      </c>
      <c r="T16" s="452">
        <f>27157/1000</f>
        <v>27.157</v>
      </c>
      <c r="U16" s="338">
        <v>0.107</v>
      </c>
      <c r="V16" s="452">
        <v>10.659000000000001</v>
      </c>
      <c r="W16" s="456">
        <v>40</v>
      </c>
      <c r="X16" s="63">
        <v>0.18</v>
      </c>
    </row>
    <row r="17" spans="1:27" ht="16" x14ac:dyDescent="0.2">
      <c r="A17" s="71" t="s">
        <v>363</v>
      </c>
      <c r="B17" s="72"/>
      <c r="C17" s="73"/>
      <c r="D17" s="73"/>
      <c r="E17" s="66"/>
      <c r="F17" s="73"/>
      <c r="G17" s="482"/>
      <c r="H17" s="66"/>
      <c r="I17" s="66"/>
      <c r="J17" s="66"/>
      <c r="K17" s="73"/>
      <c r="L17" s="66"/>
      <c r="M17" s="73"/>
      <c r="N17" s="66"/>
      <c r="O17" s="73"/>
      <c r="P17" s="66"/>
      <c r="Q17" s="338"/>
      <c r="R17" s="452"/>
      <c r="S17" s="338"/>
      <c r="T17" s="452"/>
      <c r="U17" s="338"/>
      <c r="V17" s="452"/>
      <c r="W17" s="456"/>
    </row>
    <row r="18" spans="1:27" ht="16" x14ac:dyDescent="0.2">
      <c r="A18" s="71" t="s">
        <v>364</v>
      </c>
      <c r="B18" s="72">
        <f>13.5</f>
        <v>13.5</v>
      </c>
      <c r="C18" s="73"/>
      <c r="D18" s="73"/>
      <c r="E18" s="66"/>
      <c r="F18" s="73"/>
      <c r="G18" s="66"/>
      <c r="H18" s="66"/>
      <c r="I18" s="66"/>
      <c r="J18" s="66"/>
      <c r="K18" s="77">
        <f>SUM(K15:K17)</f>
        <v>60</v>
      </c>
      <c r="L18" s="66"/>
      <c r="M18" s="77">
        <f>SUM(M15:M17)</f>
        <v>100</v>
      </c>
      <c r="N18" s="66"/>
      <c r="O18" s="77">
        <f>SUM(O15:O17)</f>
        <v>60</v>
      </c>
      <c r="P18" s="66"/>
      <c r="Q18" s="492"/>
      <c r="R18" s="453"/>
      <c r="S18" s="454"/>
      <c r="T18" s="453"/>
      <c r="U18" s="454"/>
      <c r="V18" s="453"/>
      <c r="W18" s="469"/>
    </row>
    <row r="19" spans="1:27" ht="16" thickBot="1" x14ac:dyDescent="0.25"/>
    <row r="20" spans="1:27" ht="32" x14ac:dyDescent="0.2">
      <c r="A20" s="37" t="s">
        <v>365</v>
      </c>
      <c r="B20" s="81" t="s">
        <v>366</v>
      </c>
      <c r="C20" s="82" t="s">
        <v>367</v>
      </c>
      <c r="D20" s="82" t="s">
        <v>368</v>
      </c>
      <c r="E20" s="82" t="s">
        <v>369</v>
      </c>
      <c r="F20" s="82" t="s">
        <v>683</v>
      </c>
      <c r="G20" s="82" t="s">
        <v>684</v>
      </c>
      <c r="H20" s="82" t="s">
        <v>611</v>
      </c>
      <c r="I20" s="83" t="s">
        <v>372</v>
      </c>
      <c r="J20" s="83" t="s">
        <v>612</v>
      </c>
      <c r="K20" s="83" t="s">
        <v>613</v>
      </c>
      <c r="L20" s="83" t="s">
        <v>614</v>
      </c>
      <c r="M20" s="168" t="s">
        <v>644</v>
      </c>
    </row>
    <row r="21" spans="1:27" ht="16" x14ac:dyDescent="0.2">
      <c r="A21" s="71" t="s">
        <v>74</v>
      </c>
      <c r="B21" s="84">
        <f>P15/F8</f>
        <v>1.4197273315463523E-2</v>
      </c>
      <c r="C21" s="85">
        <f>F8*(1-B21)</f>
        <v>6.1119769054441262</v>
      </c>
      <c r="D21" s="86">
        <v>0</v>
      </c>
      <c r="E21" s="85">
        <f>G8*(1-D21)</f>
        <v>1562.1690689806242</v>
      </c>
      <c r="F21" s="142">
        <f>SUM(U15)</f>
        <v>0.48499999999999999</v>
      </c>
      <c r="G21" s="142">
        <f>SUM(V15)</f>
        <v>48.558</v>
      </c>
      <c r="H21" s="142">
        <f>SUM(F21,G21)</f>
        <v>49.042999999999999</v>
      </c>
      <c r="I21" s="48">
        <f>W15</f>
        <v>40</v>
      </c>
      <c r="J21" s="48">
        <f>(F8*G8)-(C21*E21)</f>
        <v>137.50695567114235</v>
      </c>
      <c r="K21" s="48">
        <f>IFERROR(J36+J21,"-")</f>
        <v>137.50695567114235</v>
      </c>
      <c r="L21" s="159">
        <f>PV('Master Inputs '!Benefit_Discount_Factor,I21,-1)</f>
        <v>23.114771974206437</v>
      </c>
      <c r="M21" s="159">
        <f>IFERROR(L21*J21/H21,"-")</f>
        <v>64.809288281829581</v>
      </c>
    </row>
    <row r="22" spans="1:27" ht="16" x14ac:dyDescent="0.2">
      <c r="A22" s="71" t="s">
        <v>76</v>
      </c>
      <c r="B22" s="84">
        <f>P16/F7</f>
        <v>3.7168172631448023E-3</v>
      </c>
      <c r="C22" s="85">
        <f>F7*(1-B22)</f>
        <v>5.7784424598737605</v>
      </c>
      <c r="D22" s="86">
        <v>0</v>
      </c>
      <c r="E22" s="85">
        <f>G7*(1-D22)</f>
        <v>955.12197700150455</v>
      </c>
      <c r="F22" s="142">
        <f t="shared" ref="F22" si="0">SUM(U16)</f>
        <v>0.107</v>
      </c>
      <c r="G22" s="142">
        <f>SUM(V16)</f>
        <v>10.659000000000001</v>
      </c>
      <c r="H22" s="142">
        <f>SUM(F22,G22)</f>
        <v>10.766</v>
      </c>
      <c r="I22" s="48">
        <f>W16</f>
        <v>40</v>
      </c>
      <c r="J22" s="48">
        <f>(F7*G7)-(C22*E22)</f>
        <v>20.590080344662965</v>
      </c>
      <c r="K22" s="48">
        <f>IFERROR(J37+J22,"-")</f>
        <v>20.590080344662965</v>
      </c>
      <c r="L22" s="159">
        <f>PV('Master Inputs '!Benefit_Discount_Factor,I22,-1)</f>
        <v>23.114771974206437</v>
      </c>
      <c r="M22" s="159">
        <f>IFERROR(L22*J22/H22,"-")</f>
        <v>44.207227577324382</v>
      </c>
    </row>
    <row r="23" spans="1:27" ht="16" x14ac:dyDescent="0.2">
      <c r="A23" s="71" t="s">
        <v>363</v>
      </c>
      <c r="B23" s="89"/>
      <c r="C23" s="90"/>
      <c r="D23" s="90"/>
      <c r="E23" s="90"/>
      <c r="F23" s="142"/>
      <c r="G23" s="90"/>
      <c r="H23" s="90"/>
      <c r="I23" s="91"/>
      <c r="J23" s="91"/>
      <c r="K23" s="91"/>
      <c r="L23" s="91"/>
      <c r="M23" s="91"/>
    </row>
    <row r="24" spans="1:27" ht="17" thickBot="1" x14ac:dyDescent="0.25">
      <c r="A24" s="71" t="s">
        <v>364</v>
      </c>
      <c r="B24" s="92"/>
      <c r="C24" s="93"/>
      <c r="D24" s="93"/>
      <c r="E24" s="93"/>
      <c r="F24" s="93"/>
      <c r="G24" s="93"/>
      <c r="H24" s="93"/>
      <c r="I24" s="94"/>
      <c r="J24" s="94"/>
      <c r="K24" s="94"/>
      <c r="L24" s="94"/>
      <c r="M24" s="94"/>
    </row>
    <row r="25" spans="1:27" ht="16" thickTop="1" x14ac:dyDescent="0.2">
      <c r="A25" s="63"/>
      <c r="D25" s="63"/>
      <c r="E25" s="63"/>
      <c r="F25" s="63"/>
    </row>
    <row r="26" spans="1:27" ht="16" thickBot="1" x14ac:dyDescent="0.25">
      <c r="A26" s="63"/>
      <c r="D26" s="63"/>
      <c r="E26" s="63"/>
      <c r="F26" s="63"/>
    </row>
    <row r="27" spans="1:27" ht="56.25" customHeight="1" x14ac:dyDescent="0.2">
      <c r="A27" s="16" t="s">
        <v>373</v>
      </c>
      <c r="B27" s="60" t="s">
        <v>685</v>
      </c>
      <c r="C27" s="59" t="s">
        <v>686</v>
      </c>
      <c r="D27" s="59" t="s">
        <v>687</v>
      </c>
      <c r="E27" s="59" t="s">
        <v>688</v>
      </c>
      <c r="F27" s="60" t="s">
        <v>689</v>
      </c>
      <c r="G27" s="59" t="s">
        <v>690</v>
      </c>
      <c r="H27" s="59" t="s">
        <v>691</v>
      </c>
      <c r="I27" s="59" t="s">
        <v>692</v>
      </c>
      <c r="J27" s="60" t="s">
        <v>43</v>
      </c>
      <c r="K27" s="59" t="s">
        <v>44</v>
      </c>
      <c r="L27" s="59" t="s">
        <v>45</v>
      </c>
      <c r="M27" s="59" t="s">
        <v>46</v>
      </c>
      <c r="N27" s="59" t="s">
        <v>622</v>
      </c>
      <c r="O27" s="59" t="s">
        <v>383</v>
      </c>
      <c r="P27" s="59" t="s">
        <v>387</v>
      </c>
      <c r="Q27" s="59" t="s">
        <v>648</v>
      </c>
      <c r="R27" s="59" t="s">
        <v>638</v>
      </c>
      <c r="S27" s="59" t="s">
        <v>693</v>
      </c>
      <c r="T27" s="59" t="s">
        <v>694</v>
      </c>
      <c r="U27" s="59" t="s">
        <v>695</v>
      </c>
      <c r="V27" s="59" t="s">
        <v>696</v>
      </c>
      <c r="W27" s="59" t="s">
        <v>697</v>
      </c>
      <c r="X27" s="59" t="s">
        <v>698</v>
      </c>
      <c r="Y27" s="69" t="s">
        <v>699</v>
      </c>
      <c r="Z27" s="59" t="s">
        <v>389</v>
      </c>
      <c r="AA27" s="61" t="s">
        <v>605</v>
      </c>
    </row>
    <row r="28" spans="1:27" ht="16" x14ac:dyDescent="0.2">
      <c r="A28" s="16" t="s">
        <v>72</v>
      </c>
      <c r="B28" s="50" t="s">
        <v>397</v>
      </c>
      <c r="C28" s="50" t="s">
        <v>397</v>
      </c>
      <c r="D28" s="50" t="s">
        <v>397</v>
      </c>
      <c r="E28" s="50" t="s">
        <v>397</v>
      </c>
      <c r="F28" s="50" t="s">
        <v>397</v>
      </c>
      <c r="G28" s="50" t="s">
        <v>397</v>
      </c>
      <c r="H28" s="50" t="s">
        <v>397</v>
      </c>
      <c r="I28" s="50" t="s">
        <v>397</v>
      </c>
      <c r="J28" s="50" t="s">
        <v>397</v>
      </c>
      <c r="K28" s="50" t="s">
        <v>397</v>
      </c>
      <c r="L28" s="50" t="s">
        <v>397</v>
      </c>
      <c r="M28" s="50" t="s">
        <v>397</v>
      </c>
      <c r="N28" s="66" t="s">
        <v>398</v>
      </c>
      <c r="O28" s="50" t="s">
        <v>397</v>
      </c>
      <c r="P28" s="66" t="s">
        <v>397</v>
      </c>
      <c r="Q28" s="50" t="s">
        <v>397</v>
      </c>
      <c r="R28" s="50" t="s">
        <v>397</v>
      </c>
      <c r="S28" s="50" t="s">
        <v>397</v>
      </c>
      <c r="T28" s="50" t="s">
        <v>397</v>
      </c>
      <c r="U28" s="50" t="s">
        <v>397</v>
      </c>
      <c r="V28" s="50" t="s">
        <v>397</v>
      </c>
      <c r="W28" s="50" t="s">
        <v>397</v>
      </c>
      <c r="X28" s="50" t="s">
        <v>397</v>
      </c>
      <c r="Y28" s="66" t="s">
        <v>398</v>
      </c>
      <c r="Z28" s="66" t="s">
        <v>398</v>
      </c>
      <c r="AA28" s="67" t="s">
        <v>397</v>
      </c>
    </row>
    <row r="29" spans="1:27" ht="16" x14ac:dyDescent="0.2">
      <c r="A29" s="16" t="s">
        <v>700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6" x14ac:dyDescent="0.2">
      <c r="A30" s="71" t="s">
        <v>74</v>
      </c>
      <c r="B30" s="72"/>
      <c r="C30" s="73"/>
      <c r="D30" s="73"/>
      <c r="E30" s="73"/>
      <c r="F30" s="72"/>
      <c r="G30" s="73"/>
      <c r="H30" s="73"/>
      <c r="I30" s="73"/>
      <c r="J30" s="72"/>
      <c r="K30" s="73"/>
      <c r="L30" s="73"/>
      <c r="M30" s="73"/>
      <c r="N30" s="73"/>
      <c r="O30" s="73">
        <v>1</v>
      </c>
      <c r="P30" s="73"/>
      <c r="Q30" s="74"/>
      <c r="R30" s="66"/>
      <c r="S30" s="66"/>
      <c r="T30" s="66"/>
      <c r="U30" s="66"/>
      <c r="V30" s="66"/>
      <c r="W30" s="66"/>
      <c r="X30" s="66"/>
      <c r="Y30" s="73"/>
      <c r="Z30" s="73"/>
      <c r="AA30" s="78"/>
    </row>
    <row r="31" spans="1:27" ht="16" x14ac:dyDescent="0.2">
      <c r="A31" s="71" t="s">
        <v>76</v>
      </c>
      <c r="B31" s="72"/>
      <c r="C31" s="73"/>
      <c r="D31" s="73"/>
      <c r="E31" s="73"/>
      <c r="F31" s="72"/>
      <c r="G31" s="73"/>
      <c r="H31" s="73"/>
      <c r="I31" s="73"/>
      <c r="J31" s="72"/>
      <c r="K31" s="73"/>
      <c r="L31" s="73"/>
      <c r="M31" s="73"/>
      <c r="N31" s="73"/>
      <c r="O31" s="73">
        <v>0.5</v>
      </c>
      <c r="P31" s="73"/>
      <c r="Q31" s="74"/>
      <c r="R31" s="66"/>
      <c r="S31" s="66"/>
      <c r="T31" s="66"/>
      <c r="U31" s="66"/>
      <c r="V31" s="66"/>
      <c r="W31" s="66"/>
      <c r="X31" s="66"/>
      <c r="Y31" s="73"/>
      <c r="Z31" s="73"/>
      <c r="AA31" s="78"/>
    </row>
    <row r="32" spans="1:27" s="62" customFormat="1" ht="16" x14ac:dyDescent="0.2">
      <c r="A32" s="71" t="s">
        <v>363</v>
      </c>
      <c r="B32" s="72"/>
      <c r="C32" s="73"/>
      <c r="D32" s="73"/>
      <c r="E32" s="73"/>
      <c r="F32" s="72"/>
      <c r="G32" s="73"/>
      <c r="H32" s="73"/>
      <c r="I32" s="73"/>
      <c r="J32" s="72"/>
      <c r="K32" s="73"/>
      <c r="L32" s="73"/>
      <c r="M32" s="73"/>
      <c r="N32" s="73"/>
      <c r="O32" s="73"/>
      <c r="P32" s="73"/>
      <c r="Q32" s="74"/>
      <c r="R32" s="66"/>
      <c r="S32" s="66"/>
      <c r="T32" s="66"/>
      <c r="U32" s="66"/>
      <c r="V32" s="66"/>
      <c r="W32" s="66"/>
      <c r="X32" s="66"/>
      <c r="Y32" s="73"/>
      <c r="Z32" s="73"/>
      <c r="AA32" s="78"/>
    </row>
    <row r="33" spans="1:27" s="62" customFormat="1" ht="16" x14ac:dyDescent="0.2">
      <c r="A33" s="71" t="s">
        <v>364</v>
      </c>
      <c r="B33" s="72"/>
      <c r="C33" s="73"/>
      <c r="D33" s="73"/>
      <c r="E33" s="73"/>
      <c r="F33" s="72"/>
      <c r="G33" s="73"/>
      <c r="H33" s="73"/>
      <c r="I33" s="73"/>
      <c r="J33" s="72"/>
      <c r="K33" s="73"/>
      <c r="L33" s="73"/>
      <c r="M33" s="73"/>
      <c r="N33" s="73"/>
      <c r="O33" s="73"/>
      <c r="P33" s="73"/>
      <c r="Q33" s="73"/>
      <c r="R33" s="66"/>
      <c r="S33" s="66"/>
      <c r="T33" s="66"/>
      <c r="U33" s="66"/>
      <c r="V33" s="66"/>
      <c r="W33" s="66"/>
      <c r="X33" s="66"/>
      <c r="Y33" s="73"/>
      <c r="Z33" s="73"/>
      <c r="AA33" s="73"/>
    </row>
    <row r="34" spans="1:27" s="62" customFormat="1" ht="16" thickBot="1" x14ac:dyDescent="0.25">
      <c r="A34" s="816"/>
      <c r="B34" s="816"/>
      <c r="C34" s="816"/>
      <c r="D34" s="63"/>
      <c r="E34" s="63"/>
    </row>
    <row r="35" spans="1:27" s="62" customFormat="1" ht="33" thickTop="1" x14ac:dyDescent="0.2">
      <c r="A35" s="16" t="s">
        <v>399</v>
      </c>
      <c r="B35" s="81" t="s">
        <v>366</v>
      </c>
      <c r="C35" s="82" t="s">
        <v>367</v>
      </c>
      <c r="D35" s="82" t="s">
        <v>368</v>
      </c>
      <c r="E35" s="82" t="s">
        <v>369</v>
      </c>
      <c r="F35" s="82" t="s">
        <v>701</v>
      </c>
      <c r="G35" s="82" t="s">
        <v>643</v>
      </c>
      <c r="H35" s="82" t="s">
        <v>402</v>
      </c>
      <c r="I35" s="83" t="s">
        <v>372</v>
      </c>
      <c r="J35" s="83" t="s">
        <v>702</v>
      </c>
      <c r="K35" s="83" t="s">
        <v>613</v>
      </c>
      <c r="L35" s="83" t="s">
        <v>614</v>
      </c>
      <c r="M35" s="168" t="s">
        <v>644</v>
      </c>
      <c r="N35" s="63"/>
    </row>
    <row r="36" spans="1:27" s="62" customFormat="1" ht="16" x14ac:dyDescent="0.2">
      <c r="A36" s="71" t="s">
        <v>74</v>
      </c>
      <c r="B36" s="84"/>
      <c r="C36" s="85"/>
      <c r="D36" s="86"/>
      <c r="E36" s="85"/>
      <c r="F36" s="142"/>
      <c r="G36" s="142"/>
      <c r="H36" s="142"/>
      <c r="I36" s="48"/>
      <c r="J36" s="48"/>
      <c r="K36" s="48"/>
      <c r="L36" s="48"/>
      <c r="M36" s="88"/>
      <c r="N36" s="63"/>
    </row>
    <row r="37" spans="1:27" s="62" customFormat="1" ht="16" x14ac:dyDescent="0.2">
      <c r="A37" s="71" t="s">
        <v>76</v>
      </c>
      <c r="B37" s="84"/>
      <c r="C37" s="85"/>
      <c r="D37" s="86"/>
      <c r="E37" s="85"/>
      <c r="F37" s="142"/>
      <c r="G37" s="142"/>
      <c r="H37" s="142"/>
      <c r="I37" s="48"/>
      <c r="J37" s="48"/>
      <c r="K37" s="48"/>
      <c r="L37" s="48"/>
      <c r="M37" s="88"/>
      <c r="N37" s="63"/>
    </row>
    <row r="38" spans="1:27" s="62" customFormat="1" ht="16" x14ac:dyDescent="0.2">
      <c r="A38" s="71" t="s">
        <v>363</v>
      </c>
      <c r="B38" s="89"/>
      <c r="C38" s="90"/>
      <c r="D38" s="90"/>
      <c r="E38" s="90"/>
      <c r="F38" s="90"/>
      <c r="G38" s="90"/>
      <c r="H38" s="90"/>
      <c r="I38" s="91"/>
      <c r="J38" s="91"/>
      <c r="K38" s="91"/>
      <c r="L38" s="91"/>
      <c r="M38" s="91"/>
      <c r="N38" s="63"/>
      <c r="O38" s="394"/>
      <c r="P38" s="394" t="s">
        <v>415</v>
      </c>
      <c r="Q38" s="394" t="s">
        <v>416</v>
      </c>
      <c r="R38" s="394" t="s">
        <v>417</v>
      </c>
      <c r="S38" s="394" t="s">
        <v>418</v>
      </c>
      <c r="U38" s="62">
        <v>2024</v>
      </c>
      <c r="V38" s="62">
        <v>2025</v>
      </c>
      <c r="W38" s="62">
        <v>2026</v>
      </c>
      <c r="X38" s="62">
        <v>2027</v>
      </c>
    </row>
    <row r="39" spans="1:27" s="62" customFormat="1" ht="33" thickBot="1" x14ac:dyDescent="0.25">
      <c r="A39" s="71" t="s">
        <v>364</v>
      </c>
      <c r="B39" s="92"/>
      <c r="C39" s="93"/>
      <c r="D39" s="93"/>
      <c r="E39" s="93"/>
      <c r="F39" s="93"/>
      <c r="G39" s="93"/>
      <c r="H39" s="93"/>
      <c r="I39" s="94"/>
      <c r="J39" s="94"/>
      <c r="K39" s="94"/>
      <c r="L39" s="94"/>
      <c r="M39" s="94"/>
      <c r="N39" s="63"/>
      <c r="O39" s="394" t="s">
        <v>419</v>
      </c>
      <c r="P39" s="394">
        <v>6.7849999999999994E-2</v>
      </c>
      <c r="Q39" s="394">
        <v>1.6652255938304439E-2</v>
      </c>
      <c r="R39" s="394">
        <v>2.1068244683025483E-2</v>
      </c>
      <c r="S39" s="394">
        <v>2.2648989055561231E-2</v>
      </c>
      <c r="T39" s="62" t="s">
        <v>74</v>
      </c>
      <c r="U39" s="62">
        <f>+U15*(1+$P$39)</f>
        <v>0.51790724999999993</v>
      </c>
      <c r="V39" s="62">
        <f>+U39*(1+$Q$39)</f>
        <v>0.5265315740793034</v>
      </c>
      <c r="W39" s="62">
        <f>+V39*(1+$R$39)</f>
        <v>0.53762467011534476</v>
      </c>
      <c r="X39" s="62">
        <f>+W39*(1+$S$39)</f>
        <v>0.54980132538478688</v>
      </c>
    </row>
    <row r="40" spans="1:27" s="62" customFormat="1" ht="49" thickTop="1" x14ac:dyDescent="0.2">
      <c r="A40" s="103"/>
      <c r="B40" s="103"/>
      <c r="C40" s="104"/>
      <c r="D40" s="105"/>
      <c r="O40" s="394" t="s">
        <v>420</v>
      </c>
      <c r="P40" s="394">
        <v>0.1133</v>
      </c>
      <c r="Q40" s="394">
        <v>1.2535769118655393E-2</v>
      </c>
      <c r="R40" s="394">
        <v>1.6396133850047567E-2</v>
      </c>
      <c r="S40" s="394">
        <v>2.1124776835969028E-2</v>
      </c>
      <c r="T40" s="62" t="s">
        <v>76</v>
      </c>
      <c r="U40" s="62">
        <f>+U16*(1+$P$39)</f>
        <v>0.11425995</v>
      </c>
      <c r="V40" s="62">
        <f>+U40*(1+$Q$39)</f>
        <v>0.11616263593089787</v>
      </c>
      <c r="W40" s="62">
        <f>+V40*(1+$R$39)</f>
        <v>0.11860997876771524</v>
      </c>
      <c r="X40" s="62">
        <f>+W40*(1+$S$39)</f>
        <v>0.12129637487870558</v>
      </c>
    </row>
    <row r="41" spans="1:27" s="62" customFormat="1" x14ac:dyDescent="0.2"/>
    <row r="42" spans="1:27" s="62" customFormat="1" ht="16" x14ac:dyDescent="0.2">
      <c r="T42" s="62" t="s">
        <v>74</v>
      </c>
      <c r="U42" s="62">
        <f>+V15*(1+$P$40)</f>
        <v>54.059621399999997</v>
      </c>
      <c r="V42" s="62">
        <f>+U42*(1+$Q$40)</f>
        <v>54.737300332512319</v>
      </c>
      <c r="W42" s="62">
        <f>+V42*(1+$R$40)</f>
        <v>55.634780435354443</v>
      </c>
      <c r="X42" s="62">
        <f>+W42*(1+$S$40)</f>
        <v>56.810052756369444</v>
      </c>
    </row>
    <row r="43" spans="1:27" s="62" customFormat="1" ht="16" x14ac:dyDescent="0.2">
      <c r="T43" s="62" t="s">
        <v>76</v>
      </c>
      <c r="U43" s="62">
        <f>+V16*(1+$P$40)</f>
        <v>11.866664700000001</v>
      </c>
      <c r="V43" s="62">
        <f>+U43*(1+$Q$40)</f>
        <v>12.015422468887699</v>
      </c>
      <c r="W43" s="62">
        <f>+V43*(1+$R$40)</f>
        <v>12.212428943952451</v>
      </c>
      <c r="X43" s="62">
        <f>+W43*(1+$S$40)</f>
        <v>12.470413780018577</v>
      </c>
    </row>
    <row r="44" spans="1:27" s="62" customFormat="1" x14ac:dyDescent="0.2">
      <c r="A44" s="106"/>
      <c r="B44" s="106"/>
      <c r="C44" s="106"/>
      <c r="F44" s="106"/>
      <c r="G44" s="106"/>
      <c r="K44" s="103"/>
    </row>
    <row r="45" spans="1:27" s="62" customFormat="1" x14ac:dyDescent="0.2">
      <c r="A45" s="63"/>
      <c r="B45" s="63"/>
      <c r="F45" s="63"/>
      <c r="K45" s="63"/>
    </row>
    <row r="46" spans="1:27" s="62" customFormat="1" x14ac:dyDescent="0.2">
      <c r="A46" s="63"/>
      <c r="B46" s="63"/>
      <c r="F46" s="63"/>
      <c r="K46" s="63"/>
    </row>
    <row r="47" spans="1:27" s="62" customFormat="1" x14ac:dyDescent="0.2">
      <c r="A47" s="63"/>
      <c r="B47" s="63"/>
      <c r="C47" s="107"/>
      <c r="F47" s="63"/>
      <c r="G47" s="107"/>
      <c r="K47" s="63"/>
    </row>
    <row r="48" spans="1:27" s="62" customFormat="1" x14ac:dyDescent="0.2">
      <c r="A48" s="63"/>
      <c r="B48" s="63"/>
      <c r="F48" s="63"/>
      <c r="K48" s="63"/>
    </row>
    <row r="49" spans="1:6" s="62" customFormat="1" x14ac:dyDescent="0.2"/>
    <row r="50" spans="1:6" s="62" customFormat="1" x14ac:dyDescent="0.2">
      <c r="C50" s="108"/>
      <c r="D50" s="107"/>
      <c r="E50" s="108"/>
      <c r="F50" s="108"/>
    </row>
    <row r="51" spans="1:6" s="62" customFormat="1" x14ac:dyDescent="0.2"/>
    <row r="52" spans="1:6" s="62" customFormat="1" x14ac:dyDescent="0.2"/>
    <row r="54" spans="1:6" s="62" customFormat="1" ht="14" customHeight="1" x14ac:dyDescent="0.2">
      <c r="A54" s="103"/>
      <c r="B54" s="103"/>
    </row>
  </sheetData>
  <mergeCells count="5">
    <mergeCell ref="A34:C34"/>
    <mergeCell ref="D10:E10"/>
    <mergeCell ref="A2:A8"/>
    <mergeCell ref="B2:B8"/>
    <mergeCell ref="C2:C8"/>
  </mergeCells>
  <dataValidations disablePrompts="1" count="1">
    <dataValidation type="list" allowBlank="1" showInputMessage="1" showErrorMessage="1" sqref="E2:E8" xr:uid="{C4D28AE4-5735-4C96-B9BF-DE712400E366}">
      <formula1>Answer</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D7CF5-4C38-4F7D-82CB-727C588F36A7}">
  <sheetPr>
    <tabColor rgb="FFFFFF00"/>
  </sheetPr>
  <dimension ref="A1:V50"/>
  <sheetViews>
    <sheetView topLeftCell="A5" workbookViewId="0">
      <selection activeCell="T18" sqref="T18"/>
    </sheetView>
  </sheetViews>
  <sheetFormatPr baseColWidth="10" defaultColWidth="8.6640625" defaultRowHeight="15" x14ac:dyDescent="0.2"/>
  <cols>
    <col min="1" max="1" width="20.6640625" style="62" customWidth="1"/>
    <col min="2" max="8" width="15.6640625" style="62" customWidth="1"/>
    <col min="9" max="9" width="27.33203125" style="62" customWidth="1"/>
    <col min="10" max="10" width="20.5" style="62" customWidth="1"/>
    <col min="11" max="13" width="15.6640625" style="62" customWidth="1"/>
    <col min="14" max="21" width="14.6640625" style="63" customWidth="1"/>
    <col min="22" max="22" width="22.33203125" style="63" customWidth="1"/>
    <col min="23" max="24" width="14.6640625" style="63" customWidth="1"/>
    <col min="25" max="16383" width="8.6640625" style="63"/>
    <col min="16384" max="16384" width="8.6640625" style="63" bestFit="1"/>
  </cols>
  <sheetData>
    <row r="1" spans="1:22" ht="32" x14ac:dyDescent="0.2">
      <c r="A1" s="6" t="s">
        <v>344</v>
      </c>
      <c r="B1" s="7" t="s">
        <v>345</v>
      </c>
      <c r="C1" s="7" t="s">
        <v>346</v>
      </c>
      <c r="D1" s="33" t="s">
        <v>347</v>
      </c>
      <c r="E1" s="33" t="s">
        <v>348</v>
      </c>
      <c r="F1" s="33" t="s">
        <v>349</v>
      </c>
      <c r="G1" s="33" t="s">
        <v>350</v>
      </c>
      <c r="H1" s="33" t="s">
        <v>351</v>
      </c>
      <c r="I1" s="33" t="s">
        <v>352</v>
      </c>
      <c r="J1" s="33" t="s">
        <v>353</v>
      </c>
      <c r="K1" s="70" t="s">
        <v>354</v>
      </c>
      <c r="L1" s="33" t="s">
        <v>355</v>
      </c>
      <c r="M1" s="63"/>
    </row>
    <row r="2" spans="1:22" ht="35.25" customHeight="1" x14ac:dyDescent="0.2">
      <c r="A2" s="821" t="s">
        <v>703</v>
      </c>
      <c r="B2" s="824" t="s">
        <v>704</v>
      </c>
      <c r="C2" s="824" t="s">
        <v>448</v>
      </c>
      <c r="D2" s="44" t="s">
        <v>337</v>
      </c>
      <c r="E2" s="47" t="s">
        <v>359</v>
      </c>
      <c r="F2" s="35" t="str">
        <f>IF($E2="Yes",VLOOKUP($D2,Master_Table!$B$3:$I$9,2,TRUE),"N/A")</f>
        <v>N/A</v>
      </c>
      <c r="G2" s="35" t="str">
        <f>IF($E2="Yes",VLOOKUP($D2,Master_Table!$B$3:$I$9,3,TRUE),"N/A")</f>
        <v>N/A</v>
      </c>
      <c r="H2" s="35" t="str">
        <f>IF($E2="Yes",VLOOKUP($D2,Master_Table!$B$3:$I$9,4,TRUE),"N/A")</f>
        <v>N/A</v>
      </c>
      <c r="I2" s="35" t="str">
        <f>IF($E2="Yes",VLOOKUP($D2,Master_Table!$B$3:$I$9,5,TRUE),"N/A")</f>
        <v>N/A</v>
      </c>
      <c r="J2" s="35" t="str">
        <f>IF($E2="Yes",VLOOKUP($D2,Master_Table!$B$3:$I$9,6,TRUE),"N/A")</f>
        <v>N/A</v>
      </c>
      <c r="K2" s="35" t="str">
        <f>IF($E2="Yes",VLOOKUP($D2,Master_Table!$B$3:$I$9,7,TRUE),"N/A")</f>
        <v>N/A</v>
      </c>
      <c r="L2" s="35" t="str">
        <f>IF($E2="Yes",VLOOKUP($D2,Master_Table!$B$3:$I$9,8,TRUE),"N/A")</f>
        <v>N/A</v>
      </c>
      <c r="M2" s="63"/>
    </row>
    <row r="3" spans="1:22" ht="35.25" customHeight="1" x14ac:dyDescent="0.2">
      <c r="A3" s="822"/>
      <c r="B3" s="825"/>
      <c r="C3" s="825"/>
      <c r="D3" s="45" t="s">
        <v>338</v>
      </c>
      <c r="E3" s="47" t="s">
        <v>359</v>
      </c>
      <c r="F3" s="35" t="str">
        <f>IF($E3="Yes",VLOOKUP($D3,Master_Table!$B$3:$I$9,2,TRUE),"N/A")</f>
        <v>N/A</v>
      </c>
      <c r="G3" s="35" t="str">
        <f>IF($E3="Yes",VLOOKUP($D3,Master_Table!$B$3:$I$9,3,TRUE),"N/A")</f>
        <v>N/A</v>
      </c>
      <c r="H3" s="35" t="str">
        <f>IF($E3="Yes",VLOOKUP($D3,Master_Table!$B$3:$I$9,4,TRUE),"N/A")</f>
        <v>N/A</v>
      </c>
      <c r="I3" s="35" t="str">
        <f>IF($E3="Yes",VLOOKUP($D3,Master_Table!$B$3:$I$9,5,TRUE),"N/A")</f>
        <v>N/A</v>
      </c>
      <c r="J3" s="35" t="str">
        <f>IF($E3="Yes",VLOOKUP($D3,Master_Table!$B$3:$I$9,6,TRUE),"N/A")</f>
        <v>N/A</v>
      </c>
      <c r="K3" s="35" t="str">
        <f>IF($E3="Yes",VLOOKUP($D3,Master_Table!$B$3:$I$9,7,TRUE),"N/A")</f>
        <v>N/A</v>
      </c>
      <c r="L3" s="35" t="str">
        <f>IF($E3="Yes",VLOOKUP($D3,Master_Table!$B$3:$I$9,8,TRUE),"N/A")</f>
        <v>N/A</v>
      </c>
      <c r="M3" s="63"/>
    </row>
    <row r="4" spans="1:22" ht="35.25" customHeight="1" x14ac:dyDescent="0.2">
      <c r="A4" s="822"/>
      <c r="B4" s="825"/>
      <c r="C4" s="825"/>
      <c r="D4" s="45" t="s">
        <v>339</v>
      </c>
      <c r="E4" s="47" t="s">
        <v>359</v>
      </c>
      <c r="F4" s="35" t="str">
        <f>IF($E4="Yes",VLOOKUP($D4,Master_Table!$B$3:$I$9,2,TRUE),"N/A")</f>
        <v>N/A</v>
      </c>
      <c r="G4" s="35" t="str">
        <f>IF($E4="Yes",VLOOKUP($D4,Master_Table!$B$3:$I$9,3,TRUE),"N/A")</f>
        <v>N/A</v>
      </c>
      <c r="H4" s="35" t="str">
        <f>IF($E4="Yes",VLOOKUP($D4,Master_Table!$B$3:$I$9,4,TRUE),"N/A")</f>
        <v>N/A</v>
      </c>
      <c r="I4" s="35" t="str">
        <f>IF($E4="Yes",VLOOKUP($D4,Master_Table!$B$3:$I$9,5,TRUE),"N/A")</f>
        <v>N/A</v>
      </c>
      <c r="J4" s="35" t="str">
        <f>IF($E4="Yes",VLOOKUP($D4,Master_Table!$B$3:$I$9,6,TRUE),"N/A")</f>
        <v>N/A</v>
      </c>
      <c r="K4" s="35" t="str">
        <f>IF($E4="Yes",VLOOKUP($D4,Master_Table!$B$3:$I$9,7,TRUE),"N/A")</f>
        <v>N/A</v>
      </c>
      <c r="L4" s="35" t="str">
        <f>IF($E4="Yes",VLOOKUP($D4,Master_Table!$B$3:$I$9,8,TRUE),"N/A")</f>
        <v>N/A</v>
      </c>
      <c r="M4" s="63"/>
    </row>
    <row r="5" spans="1:22" ht="35.25" customHeight="1" x14ac:dyDescent="0.2">
      <c r="A5" s="822"/>
      <c r="B5" s="825"/>
      <c r="C5" s="825"/>
      <c r="D5" s="45" t="s">
        <v>340</v>
      </c>
      <c r="E5" s="47" t="s">
        <v>359</v>
      </c>
      <c r="F5" s="35" t="str">
        <f>IF($E5="Yes",VLOOKUP($D5,Master_Table!$B$3:$I$9,2,TRUE),"N/A")</f>
        <v>N/A</v>
      </c>
      <c r="G5" s="35" t="str">
        <f>IF($E5="Yes",VLOOKUP($D5,Master_Table!$B$3:$I$9,3,TRUE),"N/A")</f>
        <v>N/A</v>
      </c>
      <c r="H5" s="35" t="str">
        <f>IF($E5="Yes",VLOOKUP($D5,Master_Table!$B$3:$I$9,4,TRUE),"N/A")</f>
        <v>N/A</v>
      </c>
      <c r="I5" s="35" t="str">
        <f>IF($E5="Yes",VLOOKUP($D5,Master_Table!$B$3:$I$9,5,TRUE),"N/A")</f>
        <v>N/A</v>
      </c>
      <c r="J5" s="35" t="str">
        <f>IF($E5="Yes",VLOOKUP($D5,Master_Table!$B$3:$I$9,6,TRUE),"N/A")</f>
        <v>N/A</v>
      </c>
      <c r="K5" s="35" t="str">
        <f>IF($E5="Yes",VLOOKUP($D5,Master_Table!$B$3:$I$9,7,TRUE),"N/A")</f>
        <v>N/A</v>
      </c>
      <c r="L5" s="35" t="str">
        <f>IF($E5="Yes",VLOOKUP($D5,Master_Table!$B$3:$I$9,8,TRUE),"N/A")</f>
        <v>N/A</v>
      </c>
      <c r="M5" s="63"/>
    </row>
    <row r="6" spans="1:22" ht="35.25" customHeight="1" x14ac:dyDescent="0.2">
      <c r="A6" s="822"/>
      <c r="B6" s="825"/>
      <c r="C6" s="825"/>
      <c r="D6" s="45" t="s">
        <v>341</v>
      </c>
      <c r="E6" s="47" t="s">
        <v>359</v>
      </c>
      <c r="F6" s="35" t="str">
        <f>IF($E6="Yes",VLOOKUP($D6,Master_Table!$B$3:$I$9,2,TRUE),"N/A")</f>
        <v>N/A</v>
      </c>
      <c r="G6" s="35" t="str">
        <f>IF($E6="Yes",VLOOKUP($D6,Master_Table!$B$3:$I$9,3,TRUE),"N/A")</f>
        <v>N/A</v>
      </c>
      <c r="H6" s="35" t="str">
        <f>IF($E6="Yes",VLOOKUP($D6,Master_Table!$B$3:$I$9,4,TRUE),"N/A")</f>
        <v>N/A</v>
      </c>
      <c r="I6" s="35" t="str">
        <f>IF($E6="Yes",VLOOKUP($D6,Master_Table!$B$3:$I$9,5,TRUE),"N/A")</f>
        <v>N/A</v>
      </c>
      <c r="J6" s="35" t="str">
        <f>IF($E6="Yes",VLOOKUP($D6,Master_Table!$B$3:$I$9,6,TRUE),"N/A")</f>
        <v>N/A</v>
      </c>
      <c r="K6" s="35" t="str">
        <f>IF($E6="Yes",VLOOKUP($D6,Master_Table!$B$3:$I$9,7,TRUE),"N/A")</f>
        <v>N/A</v>
      </c>
      <c r="L6" s="35" t="str">
        <f>IF($E6="Yes",VLOOKUP($D6,Master_Table!$B$3:$I$9,8,TRUE),"N/A")</f>
        <v>N/A</v>
      </c>
      <c r="M6" s="63"/>
    </row>
    <row r="7" spans="1:22" ht="35.25" customHeight="1" x14ac:dyDescent="0.2">
      <c r="A7" s="822"/>
      <c r="B7" s="825"/>
      <c r="C7" s="825"/>
      <c r="D7" s="45" t="s">
        <v>342</v>
      </c>
      <c r="E7" s="47" t="s">
        <v>360</v>
      </c>
      <c r="F7" s="58">
        <f>IF($E7="Yes",VLOOKUP($D7,Master_Table!$B$3:$I$9,2,TRUE),"N/A")</f>
        <v>5.8</v>
      </c>
      <c r="G7" s="58">
        <f>IF($E7="Yes",VLOOKUP($D7,Master_Table!$B$3:$I$9,3,TRUE),"N/A")</f>
        <v>955.12197700150455</v>
      </c>
      <c r="H7" s="58">
        <f>IF($E7="Yes",VLOOKUP($D7,Master_Table!$B$3:$I$9,4,TRUE),"N/A")</f>
        <v>348.02866591505182</v>
      </c>
      <c r="I7" s="58">
        <f>IF($E7="Yes",VLOOKUP($D7,Master_Table!$B$3:$I$9,5,TRUE),"N/A")</f>
        <v>55.517241379310356</v>
      </c>
      <c r="J7" s="58">
        <f>IF($E7="Yes",VLOOKUP($D7,Master_Table!$B$3:$I$9,6,TRUE),"N/A")</f>
        <v>551.57606970714232</v>
      </c>
      <c r="K7" s="58">
        <f>IF($E7="Yes",VLOOKUP($D7,Master_Table!$B$3:$I$9,7,TRUE),"N/A")</f>
        <v>0</v>
      </c>
      <c r="L7" s="58">
        <f>IF($E7="Yes",VLOOKUP($D7,Master_Table!$B$3:$I$9,8,TRUE),"N/A")</f>
        <v>5539.7074666087265</v>
      </c>
      <c r="M7" s="63"/>
      <c r="P7" s="63" t="s">
        <v>705</v>
      </c>
    </row>
    <row r="8" spans="1:22" ht="35.25" customHeight="1" x14ac:dyDescent="0.2">
      <c r="A8" s="823"/>
      <c r="B8" s="826"/>
      <c r="C8" s="826"/>
      <c r="D8" s="45" t="s">
        <v>343</v>
      </c>
      <c r="E8" s="47" t="s">
        <v>360</v>
      </c>
      <c r="F8" s="58">
        <f>IF($E8="Yes",VLOOKUP($D8,Master_Table!$B$3:$I$9,2,TRUE),"N/A")</f>
        <v>6.2</v>
      </c>
      <c r="G8" s="58">
        <f>IF($E8="Yes",VLOOKUP($D8,Master_Table!$B$3:$I$9,3,TRUE),"N/A")</f>
        <v>1562.1690689806242</v>
      </c>
      <c r="H8" s="58">
        <f>IF($E8="Yes",VLOOKUP($D8,Master_Table!$B$3:$I$9,4,TRUE),"N/A")</f>
        <v>569.91011575644086</v>
      </c>
      <c r="I8" s="58">
        <f>IF($E8="Yes",VLOOKUP($D8,Master_Table!$B$3:$I$9,5,TRUE),"N/A")</f>
        <v>89.032258064516128</v>
      </c>
      <c r="J8" s="58">
        <f>IF($E8="Yes",VLOOKUP($D8,Master_Table!$B$3:$I$9,6,TRUE),"N/A")</f>
        <v>903.22669515966732</v>
      </c>
      <c r="K8" s="58">
        <f>IF($E8="Yes",VLOOKUP($D8,Master_Table!$B$3:$I$9,7,TRUE),"N/A")</f>
        <v>0</v>
      </c>
      <c r="L8" s="58">
        <f>IF($E8="Yes",VLOOKUP($D8,Master_Table!$B$3:$I$9,8,TRUE),"N/A")</f>
        <v>9685.4482276798699</v>
      </c>
      <c r="M8" s="63"/>
    </row>
    <row r="9" spans="1:22" ht="25.5" customHeight="1" x14ac:dyDescent="0.2">
      <c r="A9" s="7" t="s">
        <v>564</v>
      </c>
      <c r="B9" s="2"/>
      <c r="C9" s="2"/>
    </row>
    <row r="10" spans="1:22" ht="25.5" customHeight="1" x14ac:dyDescent="0.2">
      <c r="A10" s="50" t="s">
        <v>431</v>
      </c>
      <c r="B10" s="2" t="s">
        <v>582</v>
      </c>
      <c r="C10" s="2"/>
    </row>
    <row r="11" spans="1:22" ht="25.5" customHeight="1" thickBot="1" x14ac:dyDescent="0.25">
      <c r="A11" s="2"/>
      <c r="B11" s="2"/>
      <c r="C11" s="2"/>
    </row>
    <row r="12" spans="1:22" s="62" customFormat="1" ht="56.25" customHeight="1" x14ac:dyDescent="0.2">
      <c r="A12" s="16" t="s">
        <v>361</v>
      </c>
      <c r="B12" s="60" t="s">
        <v>706</v>
      </c>
      <c r="C12" s="59" t="s">
        <v>707</v>
      </c>
      <c r="D12" s="59" t="s">
        <v>708</v>
      </c>
      <c r="E12" s="59" t="s">
        <v>709</v>
      </c>
      <c r="F12" s="59" t="s">
        <v>710</v>
      </c>
      <c r="G12" s="59" t="s">
        <v>711</v>
      </c>
      <c r="H12" s="59" t="s">
        <v>712</v>
      </c>
      <c r="I12" s="59" t="s">
        <v>713</v>
      </c>
      <c r="J12" s="59" t="s">
        <v>714</v>
      </c>
      <c r="K12" s="59" t="s">
        <v>715</v>
      </c>
      <c r="L12" s="59" t="s">
        <v>716</v>
      </c>
      <c r="M12" s="59" t="s">
        <v>717</v>
      </c>
      <c r="N12" s="59" t="s">
        <v>718</v>
      </c>
      <c r="O12" s="59" t="s">
        <v>719</v>
      </c>
      <c r="P12" s="59" t="s">
        <v>720</v>
      </c>
      <c r="Q12" s="59" t="s">
        <v>721</v>
      </c>
      <c r="R12" s="59" t="s">
        <v>722</v>
      </c>
      <c r="S12" s="59" t="s">
        <v>723</v>
      </c>
      <c r="T12" s="59" t="s">
        <v>724</v>
      </c>
      <c r="U12" s="61" t="s">
        <v>725</v>
      </c>
      <c r="V12" s="62" t="s">
        <v>609</v>
      </c>
    </row>
    <row r="13" spans="1:22" s="62" customFormat="1" ht="29.25" customHeight="1" x14ac:dyDescent="0.2">
      <c r="A13" s="16" t="s">
        <v>606</v>
      </c>
      <c r="B13" s="50" t="s">
        <v>397</v>
      </c>
      <c r="C13" s="50" t="s">
        <v>397</v>
      </c>
      <c r="D13" s="134" t="s">
        <v>398</v>
      </c>
      <c r="E13" s="50" t="s">
        <v>397</v>
      </c>
      <c r="F13" s="50" t="s">
        <v>397</v>
      </c>
      <c r="G13" s="134" t="s">
        <v>398</v>
      </c>
      <c r="H13" s="50" t="s">
        <v>397</v>
      </c>
      <c r="I13" s="50" t="s">
        <v>397</v>
      </c>
      <c r="J13" s="50" t="s">
        <v>397</v>
      </c>
      <c r="K13" s="134" t="s">
        <v>398</v>
      </c>
      <c r="L13" s="134" t="s">
        <v>398</v>
      </c>
      <c r="M13" s="134" t="s">
        <v>398</v>
      </c>
      <c r="N13" s="50" t="s">
        <v>397</v>
      </c>
      <c r="O13" s="50" t="s">
        <v>397</v>
      </c>
      <c r="P13" s="50" t="s">
        <v>397</v>
      </c>
      <c r="Q13" s="50" t="s">
        <v>397</v>
      </c>
      <c r="R13" s="50" t="s">
        <v>397</v>
      </c>
      <c r="S13" s="50" t="s">
        <v>397</v>
      </c>
      <c r="T13" s="50" t="s">
        <v>397</v>
      </c>
      <c r="U13" s="67" t="s">
        <v>397</v>
      </c>
    </row>
    <row r="14" spans="1:22" s="62" customFormat="1" ht="91.5" customHeight="1" thickBot="1" x14ac:dyDescent="0.25">
      <c r="A14" s="16" t="s">
        <v>700</v>
      </c>
      <c r="B14" s="16" t="s">
        <v>550</v>
      </c>
      <c r="C14" s="37" t="s">
        <v>726</v>
      </c>
      <c r="D14" s="16"/>
      <c r="E14" s="16" t="s">
        <v>727</v>
      </c>
      <c r="F14" s="16" t="s">
        <v>728</v>
      </c>
      <c r="G14" s="37"/>
      <c r="H14" s="16" t="s">
        <v>728</v>
      </c>
      <c r="I14" s="16" t="s">
        <v>729</v>
      </c>
      <c r="J14" s="16" t="s">
        <v>730</v>
      </c>
      <c r="K14" s="16"/>
      <c r="L14" s="16"/>
      <c r="M14" s="16"/>
      <c r="N14" s="16" t="s">
        <v>731</v>
      </c>
      <c r="O14" s="16" t="s">
        <v>732</v>
      </c>
      <c r="P14" s="16" t="s">
        <v>731</v>
      </c>
      <c r="Q14" s="16" t="s">
        <v>732</v>
      </c>
      <c r="R14" s="16" t="s">
        <v>731</v>
      </c>
      <c r="S14" s="16" t="s">
        <v>732</v>
      </c>
      <c r="T14" s="16" t="s">
        <v>733</v>
      </c>
      <c r="U14" s="16" t="s">
        <v>734</v>
      </c>
    </row>
    <row r="15" spans="1:22" ht="16" x14ac:dyDescent="0.2">
      <c r="A15" s="71" t="s">
        <v>74</v>
      </c>
      <c r="B15" s="77">
        <v>80</v>
      </c>
      <c r="C15" s="75">
        <f>'Master Inputs '!V50</f>
        <v>4.2979942693409698E-2</v>
      </c>
      <c r="D15" s="343">
        <f>C15/B15</f>
        <v>5.3724928366762124E-4</v>
      </c>
      <c r="E15" s="73">
        <v>4342</v>
      </c>
      <c r="F15" s="73">
        <v>2769</v>
      </c>
      <c r="G15" s="73">
        <f>E15-F15</f>
        <v>1573</v>
      </c>
      <c r="H15" s="452">
        <v>0</v>
      </c>
      <c r="I15" s="452">
        <v>0</v>
      </c>
      <c r="J15" s="452">
        <v>0</v>
      </c>
      <c r="K15" s="294">
        <f>B15*(H15/G15)*D15</f>
        <v>0</v>
      </c>
      <c r="L15" s="294">
        <f>B15*(I15/G15)*D15</f>
        <v>0</v>
      </c>
      <c r="M15" s="294">
        <f>B15*(J15/G15)*D15</f>
        <v>0</v>
      </c>
      <c r="N15" s="484">
        <v>0</v>
      </c>
      <c r="O15" s="77">
        <v>0</v>
      </c>
      <c r="P15" s="484">
        <v>0</v>
      </c>
      <c r="Q15" s="77">
        <v>0</v>
      </c>
      <c r="R15" s="484">
        <v>0</v>
      </c>
      <c r="S15" s="77">
        <v>0</v>
      </c>
      <c r="T15" s="76">
        <v>25</v>
      </c>
      <c r="U15" s="78">
        <v>0</v>
      </c>
    </row>
    <row r="16" spans="1:22" ht="16" x14ac:dyDescent="0.2">
      <c r="A16" s="71" t="s">
        <v>76</v>
      </c>
      <c r="B16" s="77">
        <v>104.2</v>
      </c>
      <c r="C16" s="75">
        <f>'Master Inputs '!V49</f>
        <v>4.3282236248872855E-2</v>
      </c>
      <c r="D16" s="343">
        <f>C16/B16</f>
        <v>4.1537654749398132E-4</v>
      </c>
      <c r="E16" s="73">
        <v>6799</v>
      </c>
      <c r="F16" s="73">
        <v>316</v>
      </c>
      <c r="G16" s="73">
        <f>E16-F16</f>
        <v>6483</v>
      </c>
      <c r="H16" s="452">
        <v>100</v>
      </c>
      <c r="I16" s="452">
        <v>0</v>
      </c>
      <c r="J16" s="452">
        <v>0</v>
      </c>
      <c r="K16" s="294">
        <f>B16*(H16/G16)*D16</f>
        <v>6.6762665816555379E-4</v>
      </c>
      <c r="L16" s="294">
        <f>B16*(I16/G16)*D16</f>
        <v>0</v>
      </c>
      <c r="M16" s="294">
        <f>B16*(J16/G16)*D16</f>
        <v>0</v>
      </c>
      <c r="N16" s="484">
        <v>0</v>
      </c>
      <c r="O16" s="77">
        <f>842/1000</f>
        <v>0.84199999999999997</v>
      </c>
      <c r="P16" s="484">
        <v>0</v>
      </c>
      <c r="Q16" s="77">
        <v>0</v>
      </c>
      <c r="R16" s="484">
        <v>0</v>
      </c>
      <c r="S16" s="77">
        <v>0</v>
      </c>
      <c r="T16" s="76">
        <v>25</v>
      </c>
      <c r="U16" s="78">
        <v>0</v>
      </c>
    </row>
    <row r="17" spans="1:22" ht="18" thickTop="1" thickBot="1" x14ac:dyDescent="0.25">
      <c r="A17" s="71" t="s">
        <v>363</v>
      </c>
      <c r="B17" s="72"/>
      <c r="C17" s="73"/>
      <c r="D17" s="294"/>
      <c r="E17" s="73"/>
      <c r="F17" s="73"/>
      <c r="G17" s="73"/>
      <c r="H17" s="73"/>
      <c r="I17" s="73"/>
      <c r="J17" s="73"/>
      <c r="K17" s="294"/>
      <c r="L17" s="294"/>
      <c r="M17" s="294"/>
      <c r="N17" s="480"/>
      <c r="O17" s="77"/>
      <c r="P17" s="480"/>
      <c r="Q17" s="73"/>
      <c r="R17" s="480"/>
      <c r="S17" s="73"/>
      <c r="T17" s="76"/>
      <c r="U17" s="78"/>
    </row>
    <row r="18" spans="1:22" ht="16" x14ac:dyDescent="0.2">
      <c r="A18" s="71" t="s">
        <v>364</v>
      </c>
      <c r="B18" s="72"/>
      <c r="C18" s="73"/>
      <c r="D18" s="294"/>
      <c r="E18" s="73">
        <f>E15+E16</f>
        <v>11141</v>
      </c>
      <c r="F18" s="73">
        <f>F15+F16</f>
        <v>3085</v>
      </c>
      <c r="G18" s="73"/>
      <c r="H18" s="73">
        <f t="shared" ref="H18" si="0">H15+H16</f>
        <v>100</v>
      </c>
      <c r="I18" s="73">
        <v>3509</v>
      </c>
      <c r="J18" s="73">
        <f>J15+J16</f>
        <v>0</v>
      </c>
      <c r="K18" s="294"/>
      <c r="L18" s="294"/>
      <c r="M18" s="294"/>
      <c r="N18" s="480">
        <v>0</v>
      </c>
      <c r="O18" s="73">
        <v>6.5209999999999999</v>
      </c>
      <c r="P18" s="480">
        <v>0</v>
      </c>
      <c r="Q18" s="73">
        <v>6.4889999999999999</v>
      </c>
      <c r="R18" s="480">
        <v>0</v>
      </c>
      <c r="S18" s="73">
        <v>0.73399999999999999</v>
      </c>
      <c r="T18" s="76"/>
      <c r="U18" s="110">
        <v>0</v>
      </c>
      <c r="V18" s="63" t="s">
        <v>735</v>
      </c>
    </row>
    <row r="19" spans="1:22" ht="17" thickTop="1" thickBot="1" x14ac:dyDescent="0.25"/>
    <row r="20" spans="1:22" ht="33" thickTop="1" x14ac:dyDescent="0.2">
      <c r="A20" s="16" t="s">
        <v>365</v>
      </c>
      <c r="B20" s="81" t="s">
        <v>366</v>
      </c>
      <c r="C20" s="82" t="s">
        <v>367</v>
      </c>
      <c r="D20" s="82" t="s">
        <v>368</v>
      </c>
      <c r="E20" s="82" t="s">
        <v>369</v>
      </c>
      <c r="F20" s="82" t="s">
        <v>701</v>
      </c>
      <c r="G20" s="82" t="s">
        <v>643</v>
      </c>
      <c r="H20" s="82" t="s">
        <v>402</v>
      </c>
      <c r="I20" s="83" t="s">
        <v>372</v>
      </c>
      <c r="J20" s="83" t="s">
        <v>612</v>
      </c>
      <c r="K20" s="83" t="s">
        <v>613</v>
      </c>
      <c r="L20" s="83" t="s">
        <v>614</v>
      </c>
      <c r="M20" s="83" t="s">
        <v>736</v>
      </c>
    </row>
    <row r="21" spans="1:22" ht="16" x14ac:dyDescent="0.2">
      <c r="A21" s="71" t="s">
        <v>74</v>
      </c>
      <c r="B21" s="84">
        <f>SUM(K15:M15)/F8</f>
        <v>0</v>
      </c>
      <c r="C21" s="276">
        <f>F8*(1-B21)</f>
        <v>6.2</v>
      </c>
      <c r="D21" s="86">
        <v>0</v>
      </c>
      <c r="E21" s="276">
        <f>G8*(1-D21)</f>
        <v>1562.1690689806242</v>
      </c>
      <c r="F21" s="87">
        <f>SUM(N15,P15,R15)</f>
        <v>0</v>
      </c>
      <c r="G21" s="157">
        <f>SUM(O15,Q15,S15)</f>
        <v>0</v>
      </c>
      <c r="H21" s="157">
        <f>SUM(N15:S15)</f>
        <v>0</v>
      </c>
      <c r="I21" s="48">
        <f>T15</f>
        <v>25</v>
      </c>
      <c r="J21" s="164">
        <f>(F8*G8)-(C21*E21)</f>
        <v>0</v>
      </c>
      <c r="K21" s="164">
        <f>IFERROR(J21+E33,"-")</f>
        <v>0</v>
      </c>
      <c r="L21" s="164">
        <f>PV('Master Inputs '!Benefit_Discount_Factor,I21,-1)</f>
        <v>17.413147691278009</v>
      </c>
      <c r="M21" s="164" t="str">
        <f>IFERROR(K21*L21/H21,"-")</f>
        <v>-</v>
      </c>
    </row>
    <row r="22" spans="1:22" ht="16" x14ac:dyDescent="0.2">
      <c r="A22" s="71" t="s">
        <v>76</v>
      </c>
      <c r="B22" s="84">
        <f>SUM(K16:M16)/F7</f>
        <v>1.1510804451130238E-4</v>
      </c>
      <c r="C22" s="276">
        <f>F7*(1-B22)</f>
        <v>5.7993323733418345</v>
      </c>
      <c r="D22" s="86">
        <v>0</v>
      </c>
      <c r="E22" s="276">
        <f>G7*(1-D22)</f>
        <v>955.12197700150455</v>
      </c>
      <c r="F22" s="87">
        <f>SUM(N16,P16,R16)</f>
        <v>0</v>
      </c>
      <c r="G22" s="157">
        <f>SUM(O16,Q16,S16)</f>
        <v>0.84199999999999997</v>
      </c>
      <c r="H22" s="157">
        <f>SUM(N16:S16)</f>
        <v>0.84199999999999997</v>
      </c>
      <c r="I22" s="48">
        <f>T16</f>
        <v>25</v>
      </c>
      <c r="J22" s="164">
        <f>(F7*G7)-(C22*E22)</f>
        <v>0.63766489364570589</v>
      </c>
      <c r="K22" s="164">
        <f>IFERROR(J22+E34,"-")</f>
        <v>0.63766489364570589</v>
      </c>
      <c r="L22" s="164">
        <f>PV('Master Inputs '!Benefit_Discount_Factor,I22,-1)</f>
        <v>17.413147691278009</v>
      </c>
      <c r="M22" s="164">
        <f>IFERROR(K22*L22/H22,"-")</f>
        <v>13.187355071966461</v>
      </c>
    </row>
    <row r="23" spans="1:22" ht="16" x14ac:dyDescent="0.2">
      <c r="A23" s="71" t="s">
        <v>363</v>
      </c>
      <c r="B23" s="89"/>
      <c r="C23" s="90"/>
      <c r="D23" s="90"/>
      <c r="E23" s="90"/>
      <c r="F23" s="90"/>
      <c r="G23" s="90"/>
      <c r="H23" s="90"/>
      <c r="I23" s="91"/>
      <c r="J23" s="164"/>
      <c r="K23" s="91"/>
      <c r="L23" s="91"/>
      <c r="M23" s="176"/>
    </row>
    <row r="24" spans="1:22" ht="17" thickBot="1" x14ac:dyDescent="0.25">
      <c r="A24" s="71" t="s">
        <v>364</v>
      </c>
      <c r="B24" s="92"/>
      <c r="C24" s="93"/>
      <c r="D24" s="93"/>
      <c r="E24" s="93"/>
      <c r="F24" s="93"/>
      <c r="G24" s="93"/>
      <c r="H24" s="93"/>
      <c r="I24" s="94"/>
      <c r="J24" s="94"/>
      <c r="K24" s="94"/>
      <c r="L24" s="94"/>
      <c r="M24" s="177"/>
    </row>
    <row r="25" spans="1:22" ht="16" thickTop="1" x14ac:dyDescent="0.2">
      <c r="A25" s="63"/>
      <c r="D25" s="63"/>
      <c r="E25" s="63"/>
      <c r="F25" s="63"/>
      <c r="G25" s="63"/>
      <c r="H25" s="63"/>
    </row>
    <row r="26" spans="1:22" x14ac:dyDescent="0.2">
      <c r="A26" s="63"/>
      <c r="D26" s="63"/>
      <c r="E26" s="63"/>
      <c r="F26" s="63"/>
      <c r="G26" s="63"/>
      <c r="H26" s="63"/>
    </row>
    <row r="27" spans="1:22" ht="30" hidden="1" customHeight="1" x14ac:dyDescent="0.2">
      <c r="A27" s="16" t="s">
        <v>373</v>
      </c>
      <c r="B27" s="60" t="s">
        <v>362</v>
      </c>
      <c r="C27" s="59" t="s">
        <v>362</v>
      </c>
      <c r="D27" s="59" t="s">
        <v>362</v>
      </c>
      <c r="E27" s="59" t="s">
        <v>362</v>
      </c>
      <c r="F27" s="59"/>
      <c r="G27" s="59"/>
      <c r="H27" s="59" t="s">
        <v>362</v>
      </c>
      <c r="I27" s="59" t="s">
        <v>362</v>
      </c>
      <c r="J27" s="59" t="s">
        <v>362</v>
      </c>
      <c r="K27" s="59" t="s">
        <v>362</v>
      </c>
      <c r="L27" s="59" t="s">
        <v>362</v>
      </c>
      <c r="M27" s="59" t="s">
        <v>362</v>
      </c>
    </row>
    <row r="28" spans="1:22" ht="16" hidden="1" x14ac:dyDescent="0.2">
      <c r="A28" s="71" t="s">
        <v>74</v>
      </c>
      <c r="B28" s="96"/>
      <c r="C28" s="97"/>
      <c r="D28" s="97"/>
      <c r="E28" s="97"/>
      <c r="F28" s="97"/>
      <c r="G28" s="97"/>
      <c r="H28" s="97"/>
      <c r="I28" s="97"/>
      <c r="J28" s="97"/>
      <c r="K28" s="97"/>
      <c r="L28" s="99"/>
      <c r="M28" s="99"/>
    </row>
    <row r="29" spans="1:22" ht="16" hidden="1" x14ac:dyDescent="0.2">
      <c r="A29" s="71" t="s">
        <v>76</v>
      </c>
      <c r="B29" s="96"/>
      <c r="C29" s="97"/>
      <c r="D29" s="97"/>
      <c r="E29" s="97"/>
      <c r="F29" s="97"/>
      <c r="G29" s="97"/>
      <c r="H29" s="97"/>
      <c r="I29" s="97"/>
      <c r="J29" s="97"/>
      <c r="K29" s="97"/>
      <c r="L29" s="97"/>
      <c r="M29" s="97"/>
    </row>
    <row r="30" spans="1:22" s="62" customFormat="1" ht="16" hidden="1" x14ac:dyDescent="0.2">
      <c r="A30" s="71" t="s">
        <v>364</v>
      </c>
      <c r="B30" s="96"/>
      <c r="C30" s="97"/>
      <c r="D30" s="97"/>
      <c r="E30" s="97"/>
      <c r="F30" s="97"/>
      <c r="G30" s="97"/>
      <c r="H30" s="97"/>
      <c r="I30" s="97"/>
      <c r="J30" s="97"/>
      <c r="K30" s="97"/>
      <c r="L30" s="97"/>
      <c r="M30" s="97"/>
    </row>
    <row r="31" spans="1:22" s="62" customFormat="1" hidden="1" x14ac:dyDescent="0.2">
      <c r="A31" s="820"/>
      <c r="B31" s="820"/>
      <c r="C31" s="820"/>
      <c r="D31" s="63"/>
      <c r="E31" s="63"/>
      <c r="F31" s="63"/>
      <c r="G31" s="63"/>
    </row>
    <row r="32" spans="1:22" s="62" customFormat="1" ht="33" hidden="1" thickTop="1" x14ac:dyDescent="0.2">
      <c r="A32" s="16" t="s">
        <v>399</v>
      </c>
      <c r="B32" s="81" t="s">
        <v>366</v>
      </c>
      <c r="C32" s="82" t="s">
        <v>367</v>
      </c>
      <c r="D32" s="82" t="s">
        <v>368</v>
      </c>
      <c r="E32" s="82" t="s">
        <v>369</v>
      </c>
      <c r="F32" s="82"/>
      <c r="G32" s="82"/>
      <c r="H32" s="82" t="s">
        <v>701</v>
      </c>
      <c r="I32" s="82" t="s">
        <v>643</v>
      </c>
      <c r="J32" s="83" t="s">
        <v>372</v>
      </c>
      <c r="L32" s="63"/>
    </row>
    <row r="33" spans="1:13" s="62" customFormat="1" ht="16" hidden="1" x14ac:dyDescent="0.2">
      <c r="A33" s="71" t="s">
        <v>74</v>
      </c>
      <c r="B33" s="89"/>
      <c r="C33" s="90"/>
      <c r="D33" s="90"/>
      <c r="E33" s="90"/>
      <c r="F33" s="90"/>
      <c r="G33" s="90"/>
      <c r="H33" s="90"/>
      <c r="I33" s="90"/>
      <c r="J33" s="91"/>
      <c r="L33" s="63"/>
    </row>
    <row r="34" spans="1:13" s="62" customFormat="1" ht="16" hidden="1" x14ac:dyDescent="0.2">
      <c r="A34" s="71" t="s">
        <v>76</v>
      </c>
      <c r="B34" s="89"/>
      <c r="C34" s="90"/>
      <c r="D34" s="90"/>
      <c r="E34" s="90"/>
      <c r="F34" s="90"/>
      <c r="G34" s="90"/>
      <c r="H34" s="90"/>
      <c r="I34" s="90"/>
      <c r="J34" s="91"/>
    </row>
    <row r="35" spans="1:13" s="62" customFormat="1" ht="17" hidden="1" thickBot="1" x14ac:dyDescent="0.25">
      <c r="A35" s="71" t="s">
        <v>364</v>
      </c>
      <c r="B35" s="92"/>
      <c r="C35" s="93"/>
      <c r="D35" s="93"/>
      <c r="E35" s="93"/>
      <c r="F35" s="93"/>
      <c r="G35" s="93"/>
      <c r="H35" s="93"/>
      <c r="I35" s="93"/>
      <c r="J35" s="94"/>
    </row>
    <row r="36" spans="1:13" s="62" customFormat="1" ht="164.25" customHeight="1" x14ac:dyDescent="0.2">
      <c r="A36" s="112" t="s">
        <v>737</v>
      </c>
      <c r="B36" s="112"/>
      <c r="C36" s="104"/>
      <c r="D36" s="400"/>
    </row>
    <row r="37" spans="1:13" s="62" customFormat="1" x14ac:dyDescent="0.2">
      <c r="A37" s="399" t="s">
        <v>738</v>
      </c>
      <c r="B37" s="685"/>
    </row>
    <row r="38" spans="1:13" s="62" customFormat="1" x14ac:dyDescent="0.2">
      <c r="A38" s="399" t="s">
        <v>739</v>
      </c>
      <c r="B38" s="685"/>
    </row>
    <row r="39" spans="1:13" s="62" customFormat="1" x14ac:dyDescent="0.2">
      <c r="A39" s="399" t="s">
        <v>740</v>
      </c>
      <c r="B39" s="685"/>
    </row>
    <row r="40" spans="1:13" s="62" customFormat="1" x14ac:dyDescent="0.2">
      <c r="A40" s="399" t="s">
        <v>741</v>
      </c>
      <c r="B40" s="113"/>
      <c r="C40" s="113"/>
      <c r="H40" s="113"/>
      <c r="I40" s="113"/>
      <c r="M40" s="112"/>
    </row>
    <row r="41" spans="1:13" s="62" customFormat="1" x14ac:dyDescent="0.2">
      <c r="A41" s="399" t="s">
        <v>742</v>
      </c>
      <c r="B41" s="686"/>
      <c r="H41" s="686"/>
      <c r="M41" s="686"/>
    </row>
    <row r="42" spans="1:13" s="62" customFormat="1" x14ac:dyDescent="0.2">
      <c r="A42" s="399" t="s">
        <v>743</v>
      </c>
      <c r="B42" s="686"/>
      <c r="H42" s="686"/>
      <c r="M42" s="686"/>
    </row>
    <row r="43" spans="1:13" s="62" customFormat="1" x14ac:dyDescent="0.2">
      <c r="A43" s="399" t="s">
        <v>744</v>
      </c>
      <c r="B43" s="686"/>
      <c r="C43" s="107"/>
      <c r="H43" s="686"/>
      <c r="I43" s="107"/>
      <c r="M43" s="686"/>
    </row>
    <row r="44" spans="1:13" s="62" customFormat="1" x14ac:dyDescent="0.2">
      <c r="A44" s="399" t="s">
        <v>745</v>
      </c>
      <c r="B44" s="686"/>
      <c r="H44" s="686"/>
      <c r="M44" s="686"/>
    </row>
    <row r="45" spans="1:13" s="62" customFormat="1" x14ac:dyDescent="0.2">
      <c r="A45" s="399" t="s">
        <v>746</v>
      </c>
      <c r="B45" s="685"/>
    </row>
    <row r="46" spans="1:13" s="62" customFormat="1" x14ac:dyDescent="0.2">
      <c r="A46" s="685"/>
      <c r="B46" s="685"/>
      <c r="C46" s="114"/>
      <c r="D46" s="115"/>
      <c r="E46" s="114"/>
      <c r="F46" s="114"/>
      <c r="G46" s="114"/>
      <c r="H46" s="114"/>
    </row>
    <row r="47" spans="1:13" s="62" customFormat="1" x14ac:dyDescent="0.2"/>
    <row r="48" spans="1:13" s="62" customFormat="1" x14ac:dyDescent="0.2"/>
    <row r="50" spans="1:2" s="62" customFormat="1" x14ac:dyDescent="0.2">
      <c r="A50" s="133"/>
      <c r="B50" s="133"/>
    </row>
  </sheetData>
  <mergeCells count="4">
    <mergeCell ref="A2:A8"/>
    <mergeCell ref="B2:B8"/>
    <mergeCell ref="C2:C8"/>
    <mergeCell ref="A31:C31"/>
  </mergeCells>
  <dataValidations count="1">
    <dataValidation type="list" allowBlank="1" showInputMessage="1" showErrorMessage="1" sqref="E2:E8" xr:uid="{54DEAFFE-B57D-4CFE-99D4-D50929F9D43D}">
      <formula1>Answer</formula1>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C7FF-37A9-4367-9D96-67EFC40A8E97}">
  <sheetPr>
    <tabColor rgb="FFFFFF00"/>
  </sheetPr>
  <dimension ref="A1:X51"/>
  <sheetViews>
    <sheetView workbookViewId="0">
      <selection activeCell="L15" sqref="L15:L16"/>
    </sheetView>
  </sheetViews>
  <sheetFormatPr baseColWidth="10" defaultColWidth="8.6640625" defaultRowHeight="15" x14ac:dyDescent="0.2"/>
  <cols>
    <col min="1" max="1" width="20.5" style="62" customWidth="1"/>
    <col min="2" max="13" width="15.5" style="62" customWidth="1"/>
    <col min="14" max="17" width="15.5" style="63" customWidth="1"/>
    <col min="18" max="21" width="14.5" style="63" customWidth="1"/>
    <col min="22" max="22" width="16.5" style="63" customWidth="1"/>
    <col min="23" max="28" width="14.5" style="63" customWidth="1"/>
    <col min="29" max="29" width="8.6640625" style="63" bestFit="1" customWidth="1"/>
    <col min="30" max="16384" width="8.6640625" style="63"/>
  </cols>
  <sheetData>
    <row r="1" spans="1:24" ht="32" x14ac:dyDescent="0.2">
      <c r="A1" s="32" t="s">
        <v>344</v>
      </c>
      <c r="B1" s="33" t="s">
        <v>345</v>
      </c>
      <c r="C1" s="33" t="s">
        <v>346</v>
      </c>
      <c r="D1" s="33" t="s">
        <v>347</v>
      </c>
      <c r="E1" s="33" t="s">
        <v>348</v>
      </c>
      <c r="F1" s="33" t="s">
        <v>349</v>
      </c>
      <c r="G1" s="33" t="s">
        <v>350</v>
      </c>
      <c r="H1" s="33" t="s">
        <v>351</v>
      </c>
      <c r="I1" s="33" t="s">
        <v>352</v>
      </c>
      <c r="J1" s="33" t="s">
        <v>353</v>
      </c>
      <c r="K1" s="70" t="s">
        <v>354</v>
      </c>
      <c r="L1" s="33" t="s">
        <v>355</v>
      </c>
    </row>
    <row r="2" spans="1:24" ht="35.25" customHeight="1" x14ac:dyDescent="0.2">
      <c r="A2" s="829" t="s">
        <v>747</v>
      </c>
      <c r="B2" s="832"/>
      <c r="C2" s="813" t="s">
        <v>748</v>
      </c>
      <c r="D2" s="44" t="s">
        <v>337</v>
      </c>
      <c r="E2" s="47" t="s">
        <v>359</v>
      </c>
      <c r="F2" s="35" t="s">
        <v>434</v>
      </c>
      <c r="G2" s="35" t="s">
        <v>434</v>
      </c>
      <c r="H2" s="35" t="s">
        <v>434</v>
      </c>
      <c r="I2" s="35" t="s">
        <v>434</v>
      </c>
      <c r="J2" s="35" t="s">
        <v>434</v>
      </c>
      <c r="K2" s="35" t="s">
        <v>434</v>
      </c>
      <c r="L2" s="35" t="s">
        <v>434</v>
      </c>
    </row>
    <row r="3" spans="1:24" ht="35.25" customHeight="1" x14ac:dyDescent="0.2">
      <c r="A3" s="830"/>
      <c r="B3" s="833"/>
      <c r="C3" s="814"/>
      <c r="D3" s="45" t="s">
        <v>338</v>
      </c>
      <c r="E3" s="47" t="s">
        <v>359</v>
      </c>
      <c r="F3" s="35" t="s">
        <v>434</v>
      </c>
      <c r="G3" s="35" t="s">
        <v>434</v>
      </c>
      <c r="H3" s="35" t="s">
        <v>434</v>
      </c>
      <c r="I3" s="35" t="s">
        <v>434</v>
      </c>
      <c r="J3" s="35" t="s">
        <v>434</v>
      </c>
      <c r="K3" s="35" t="s">
        <v>434</v>
      </c>
      <c r="L3" s="35" t="s">
        <v>434</v>
      </c>
    </row>
    <row r="4" spans="1:24" ht="35.25" customHeight="1" x14ac:dyDescent="0.2">
      <c r="A4" s="830"/>
      <c r="B4" s="833"/>
      <c r="C4" s="814"/>
      <c r="D4" s="45" t="s">
        <v>339</v>
      </c>
      <c r="E4" s="47" t="s">
        <v>359</v>
      </c>
      <c r="F4" s="35" t="s">
        <v>434</v>
      </c>
      <c r="G4" s="35" t="s">
        <v>434</v>
      </c>
      <c r="H4" s="35" t="s">
        <v>434</v>
      </c>
      <c r="I4" s="35" t="s">
        <v>434</v>
      </c>
      <c r="J4" s="35" t="s">
        <v>434</v>
      </c>
      <c r="K4" s="35" t="s">
        <v>434</v>
      </c>
      <c r="L4" s="35" t="s">
        <v>434</v>
      </c>
      <c r="N4" s="63" t="s">
        <v>749</v>
      </c>
    </row>
    <row r="5" spans="1:24" ht="35.25" customHeight="1" x14ac:dyDescent="0.2">
      <c r="A5" s="830"/>
      <c r="B5" s="833"/>
      <c r="C5" s="814"/>
      <c r="D5" s="45" t="s">
        <v>340</v>
      </c>
      <c r="E5" s="47" t="s">
        <v>359</v>
      </c>
      <c r="F5" s="35" t="s">
        <v>434</v>
      </c>
      <c r="G5" s="35" t="s">
        <v>434</v>
      </c>
      <c r="H5" s="35" t="s">
        <v>434</v>
      </c>
      <c r="I5" s="35" t="s">
        <v>434</v>
      </c>
      <c r="J5" s="35" t="s">
        <v>434</v>
      </c>
      <c r="K5" s="35" t="s">
        <v>434</v>
      </c>
      <c r="L5" s="35" t="s">
        <v>434</v>
      </c>
    </row>
    <row r="6" spans="1:24" ht="35.25" customHeight="1" x14ac:dyDescent="0.2">
      <c r="A6" s="830"/>
      <c r="B6" s="833"/>
      <c r="C6" s="814"/>
      <c r="D6" s="45" t="s">
        <v>341</v>
      </c>
      <c r="E6" s="47" t="s">
        <v>359</v>
      </c>
      <c r="F6" s="35" t="s">
        <v>434</v>
      </c>
      <c r="G6" s="35" t="s">
        <v>434</v>
      </c>
      <c r="H6" s="35" t="s">
        <v>434</v>
      </c>
      <c r="I6" s="35" t="s">
        <v>434</v>
      </c>
      <c r="J6" s="35" t="s">
        <v>434</v>
      </c>
      <c r="K6" s="35" t="s">
        <v>434</v>
      </c>
      <c r="L6" s="35" t="s">
        <v>434</v>
      </c>
    </row>
    <row r="7" spans="1:24" ht="35.25" customHeight="1" x14ac:dyDescent="0.2">
      <c r="A7" s="830"/>
      <c r="B7" s="833"/>
      <c r="C7" s="814"/>
      <c r="D7" s="45" t="s">
        <v>342</v>
      </c>
      <c r="E7" s="47" t="s">
        <v>360</v>
      </c>
      <c r="F7" s="35">
        <v>6.84</v>
      </c>
      <c r="G7" s="35">
        <v>622.90514781654554</v>
      </c>
      <c r="H7" s="35">
        <v>218.71972600295786</v>
      </c>
      <c r="I7" s="35">
        <v>47.07776754348037</v>
      </c>
      <c r="J7" s="35">
        <v>345.828289190742</v>
      </c>
      <c r="K7" s="35">
        <v>11.27936507936508</v>
      </c>
      <c r="L7" s="35">
        <v>4260.6712110651715</v>
      </c>
    </row>
    <row r="8" spans="1:24" ht="35.25" customHeight="1" x14ac:dyDescent="0.2">
      <c r="A8" s="831"/>
      <c r="B8" s="834"/>
      <c r="C8" s="815"/>
      <c r="D8" s="45" t="s">
        <v>343</v>
      </c>
      <c r="E8" s="47" t="s">
        <v>360</v>
      </c>
      <c r="F8" s="35">
        <v>5.13</v>
      </c>
      <c r="G8" s="35">
        <v>1409.2815910684799</v>
      </c>
      <c r="H8" s="35">
        <v>499.93095852085202</v>
      </c>
      <c r="I8" s="35">
        <v>107.6063594406465</v>
      </c>
      <c r="J8" s="35">
        <v>790.46490802761582</v>
      </c>
      <c r="K8" s="35">
        <v>11.27936507936508</v>
      </c>
      <c r="L8" s="35">
        <v>7229.6145621813021</v>
      </c>
    </row>
    <row r="9" spans="1:24" ht="25.5" customHeight="1" x14ac:dyDescent="0.2">
      <c r="A9" s="33" t="s">
        <v>564</v>
      </c>
      <c r="B9" s="36"/>
      <c r="C9" s="36"/>
    </row>
    <row r="10" spans="1:24" ht="25.5" customHeight="1" x14ac:dyDescent="0.2">
      <c r="A10" s="50" t="s">
        <v>456</v>
      </c>
      <c r="B10" s="36" t="s">
        <v>532</v>
      </c>
      <c r="C10" s="36"/>
    </row>
    <row r="11" spans="1:24" ht="25.5" customHeight="1" x14ac:dyDescent="0.2">
      <c r="A11" s="36"/>
      <c r="B11" s="36"/>
      <c r="C11" s="36"/>
      <c r="W11" s="62"/>
      <c r="X11" s="62"/>
    </row>
    <row r="12" spans="1:24" s="62" customFormat="1" ht="57" customHeight="1" x14ac:dyDescent="0.2">
      <c r="A12" s="37" t="s">
        <v>361</v>
      </c>
      <c r="B12" s="339" t="s">
        <v>750</v>
      </c>
      <c r="C12" s="59" t="s">
        <v>29</v>
      </c>
      <c r="D12" s="59" t="s">
        <v>751</v>
      </c>
      <c r="E12" s="59" t="s">
        <v>668</v>
      </c>
      <c r="F12" s="59" t="s">
        <v>669</v>
      </c>
      <c r="G12" s="59" t="s">
        <v>670</v>
      </c>
      <c r="H12" s="59" t="s">
        <v>671</v>
      </c>
      <c r="I12" s="59" t="s">
        <v>752</v>
      </c>
      <c r="J12" s="59" t="s">
        <v>594</v>
      </c>
      <c r="K12" s="59" t="s">
        <v>753</v>
      </c>
      <c r="L12" s="59" t="s">
        <v>754</v>
      </c>
      <c r="M12" s="59" t="s">
        <v>755</v>
      </c>
      <c r="N12" s="59" t="s">
        <v>756</v>
      </c>
      <c r="O12" s="59" t="s">
        <v>718</v>
      </c>
      <c r="P12" s="59" t="s">
        <v>719</v>
      </c>
      <c r="Q12" s="59" t="s">
        <v>720</v>
      </c>
      <c r="R12" s="59" t="s">
        <v>721</v>
      </c>
      <c r="S12" s="59" t="s">
        <v>722</v>
      </c>
      <c r="T12" s="59" t="s">
        <v>723</v>
      </c>
      <c r="U12" s="64" t="s">
        <v>638</v>
      </c>
      <c r="V12" s="470" t="s">
        <v>725</v>
      </c>
      <c r="W12" s="473" t="s">
        <v>757</v>
      </c>
      <c r="X12" s="459" t="s">
        <v>758</v>
      </c>
    </row>
    <row r="13" spans="1:24" ht="32.25" customHeight="1" x14ac:dyDescent="0.2">
      <c r="A13" s="37" t="s">
        <v>72</v>
      </c>
      <c r="B13" s="50" t="s">
        <v>397</v>
      </c>
      <c r="C13" s="50" t="s">
        <v>397</v>
      </c>
      <c r="D13" s="66" t="s">
        <v>398</v>
      </c>
      <c r="E13" s="66" t="s">
        <v>759</v>
      </c>
      <c r="F13" s="66" t="s">
        <v>681</v>
      </c>
      <c r="G13" s="66" t="s">
        <v>398</v>
      </c>
      <c r="H13" s="66" t="s">
        <v>398</v>
      </c>
      <c r="I13" s="50" t="s">
        <v>397</v>
      </c>
      <c r="J13" s="66" t="s">
        <v>398</v>
      </c>
      <c r="K13" s="50" t="s">
        <v>397</v>
      </c>
      <c r="L13" s="66" t="s">
        <v>398</v>
      </c>
      <c r="M13" s="50" t="s">
        <v>397</v>
      </c>
      <c r="N13" s="66" t="s">
        <v>398</v>
      </c>
      <c r="O13" s="50" t="s">
        <v>397</v>
      </c>
      <c r="P13" s="50" t="s">
        <v>397</v>
      </c>
      <c r="Q13" s="50" t="s">
        <v>397</v>
      </c>
      <c r="R13" s="50" t="s">
        <v>397</v>
      </c>
      <c r="S13" s="50" t="s">
        <v>397</v>
      </c>
      <c r="T13" s="50" t="s">
        <v>397</v>
      </c>
      <c r="U13" s="451" t="s">
        <v>397</v>
      </c>
      <c r="V13" s="460" t="s">
        <v>397</v>
      </c>
      <c r="W13" s="474" t="s">
        <v>397</v>
      </c>
      <c r="X13" s="460" t="s">
        <v>397</v>
      </c>
    </row>
    <row r="14" spans="1:24" ht="83.25" customHeight="1" x14ac:dyDescent="0.2">
      <c r="A14" s="37" t="s">
        <v>700</v>
      </c>
      <c r="B14" s="37" t="s">
        <v>550</v>
      </c>
      <c r="C14" s="37" t="s">
        <v>550</v>
      </c>
      <c r="D14" s="37" t="s">
        <v>550</v>
      </c>
      <c r="E14" s="37" t="s">
        <v>607</v>
      </c>
      <c r="F14" s="37"/>
      <c r="G14" s="37"/>
      <c r="H14" s="37"/>
      <c r="I14" s="37"/>
      <c r="J14" s="37"/>
      <c r="K14" s="37"/>
      <c r="L14" s="37"/>
      <c r="M14" s="37"/>
      <c r="N14" s="37"/>
      <c r="O14" s="16" t="s">
        <v>731</v>
      </c>
      <c r="P14" s="16" t="s">
        <v>732</v>
      </c>
      <c r="Q14" s="16" t="s">
        <v>731</v>
      </c>
      <c r="R14" s="16" t="s">
        <v>732</v>
      </c>
      <c r="S14" s="16" t="s">
        <v>731</v>
      </c>
      <c r="T14" s="16" t="s">
        <v>732</v>
      </c>
      <c r="U14" s="37"/>
      <c r="V14" s="461"/>
      <c r="W14" s="472" t="s">
        <v>760</v>
      </c>
      <c r="X14" s="461" t="s">
        <v>761</v>
      </c>
    </row>
    <row r="15" spans="1:24" ht="16" x14ac:dyDescent="0.2">
      <c r="A15" s="71" t="s">
        <v>74</v>
      </c>
      <c r="B15" s="72">
        <v>13.5</v>
      </c>
      <c r="C15" s="74">
        <v>0.44500000000000001</v>
      </c>
      <c r="D15" s="66">
        <f>B15-(C15*B15)</f>
        <v>7.4924999999999997</v>
      </c>
      <c r="E15" s="295">
        <f>'Master Inputs '!V50</f>
        <v>4.2979942693409698E-2</v>
      </c>
      <c r="F15" s="66">
        <f>B15*E15</f>
        <v>0.58022922636103091</v>
      </c>
      <c r="G15" s="66">
        <f>D15*E15</f>
        <v>0.32202722063037215</v>
      </c>
      <c r="H15" s="66">
        <f>F15-G15</f>
        <v>0.25820200573065877</v>
      </c>
      <c r="I15" s="73">
        <v>46.75</v>
      </c>
      <c r="J15" s="66">
        <f>H15*I15/100</f>
        <v>0.12070943767908297</v>
      </c>
      <c r="K15" s="73">
        <v>6.86</v>
      </c>
      <c r="L15" s="66">
        <f>H15*K15/100</f>
        <v>1.7712657593123193E-2</v>
      </c>
      <c r="M15" s="73">
        <v>0</v>
      </c>
      <c r="N15" s="66">
        <f>H15*M15/100</f>
        <v>0</v>
      </c>
      <c r="O15" s="73">
        <v>0</v>
      </c>
      <c r="P15" s="73">
        <v>45.74</v>
      </c>
      <c r="Q15" s="73">
        <v>0</v>
      </c>
      <c r="R15" s="73">
        <v>11.31</v>
      </c>
      <c r="S15" s="73">
        <v>0</v>
      </c>
      <c r="T15" s="73">
        <v>0.69</v>
      </c>
      <c r="U15" s="456">
        <v>40</v>
      </c>
      <c r="V15" s="471">
        <v>0</v>
      </c>
      <c r="W15" s="146">
        <v>0.21</v>
      </c>
      <c r="X15" s="827"/>
    </row>
    <row r="16" spans="1:24" ht="16" x14ac:dyDescent="0.2">
      <c r="A16" s="71" t="s">
        <v>76</v>
      </c>
      <c r="B16" s="72">
        <v>13.5</v>
      </c>
      <c r="C16" s="74">
        <v>0.44500000000000001</v>
      </c>
      <c r="D16" s="66">
        <f>B16-(C16*B16)</f>
        <v>7.4924999999999997</v>
      </c>
      <c r="E16" s="295">
        <f>'Master Inputs '!V49</f>
        <v>4.3282236248872855E-2</v>
      </c>
      <c r="F16" s="66">
        <f>B16*E16</f>
        <v>0.58431018935978352</v>
      </c>
      <c r="G16" s="66">
        <f>D16*E16</f>
        <v>0.32429215509467985</v>
      </c>
      <c r="H16" s="66">
        <f>F16-G16</f>
        <v>0.26001803426510367</v>
      </c>
      <c r="I16" s="73">
        <v>0</v>
      </c>
      <c r="J16" s="66">
        <f>H16*I16/100</f>
        <v>0</v>
      </c>
      <c r="K16" s="73">
        <v>0</v>
      </c>
      <c r="L16" s="66">
        <f>H16*K16/100</f>
        <v>0</v>
      </c>
      <c r="M16" s="73">
        <v>0</v>
      </c>
      <c r="N16" s="66">
        <f>H16*M16/100</f>
        <v>0</v>
      </c>
      <c r="O16" s="73">
        <v>0</v>
      </c>
      <c r="P16" s="487"/>
      <c r="Q16" s="73">
        <v>0</v>
      </c>
      <c r="R16" s="73">
        <v>0</v>
      </c>
      <c r="S16" s="73">
        <v>0</v>
      </c>
      <c r="T16" s="73">
        <v>0</v>
      </c>
      <c r="U16" s="456">
        <v>40</v>
      </c>
      <c r="V16" s="471">
        <v>0</v>
      </c>
      <c r="W16" s="497">
        <v>0</v>
      </c>
      <c r="X16" s="828"/>
    </row>
    <row r="17" spans="1:24" ht="17" thickBot="1" x14ac:dyDescent="0.25">
      <c r="A17" s="71" t="s">
        <v>363</v>
      </c>
      <c r="B17" s="72"/>
      <c r="C17" s="73"/>
      <c r="D17" s="66"/>
      <c r="E17" s="295"/>
      <c r="F17" s="66"/>
      <c r="G17" s="66"/>
      <c r="H17" s="66"/>
      <c r="I17" s="73"/>
      <c r="J17" s="66"/>
      <c r="K17" s="73"/>
      <c r="L17" s="66"/>
      <c r="M17" s="73"/>
      <c r="N17" s="66"/>
      <c r="O17" s="458"/>
      <c r="P17" s="73"/>
      <c r="Q17" s="72"/>
      <c r="R17" s="73">
        <v>0</v>
      </c>
      <c r="S17" s="73"/>
      <c r="T17" s="73">
        <v>0</v>
      </c>
      <c r="U17" s="456"/>
      <c r="V17" s="471"/>
      <c r="W17" s="475">
        <v>0</v>
      </c>
      <c r="X17" s="462"/>
    </row>
    <row r="18" spans="1:24" ht="16" x14ac:dyDescent="0.2">
      <c r="A18" s="71" t="s">
        <v>364</v>
      </c>
      <c r="B18" s="72"/>
      <c r="C18" s="73"/>
      <c r="D18" s="66"/>
      <c r="E18" s="66"/>
      <c r="F18" s="66"/>
      <c r="G18" s="66"/>
      <c r="H18" s="66"/>
      <c r="I18" s="73"/>
      <c r="J18" s="66"/>
      <c r="K18" s="73"/>
      <c r="L18" s="66"/>
      <c r="M18" s="73"/>
      <c r="N18" s="66"/>
      <c r="O18" s="73">
        <v>0</v>
      </c>
      <c r="P18" s="488">
        <f>SUM(P15:P17)</f>
        <v>45.74</v>
      </c>
      <c r="Q18" s="73">
        <v>0</v>
      </c>
      <c r="R18" s="73">
        <f>SUM(R15:R17)</f>
        <v>11.31</v>
      </c>
      <c r="S18" s="73">
        <v>0</v>
      </c>
      <c r="T18" s="73">
        <f>SUM(T15:T17)</f>
        <v>0.69</v>
      </c>
      <c r="U18" s="456"/>
      <c r="V18" s="467"/>
      <c r="W18" s="476">
        <f>SUM(W15:W17)</f>
        <v>0.21</v>
      </c>
      <c r="X18" s="467">
        <v>0</v>
      </c>
    </row>
    <row r="19" spans="1:24" x14ac:dyDescent="0.2">
      <c r="L19" s="63"/>
      <c r="M19" s="63"/>
      <c r="O19" s="105" t="s">
        <v>762</v>
      </c>
    </row>
    <row r="20" spans="1:24" ht="32" x14ac:dyDescent="0.2">
      <c r="A20" s="37" t="s">
        <v>365</v>
      </c>
      <c r="B20" s="81" t="s">
        <v>366</v>
      </c>
      <c r="C20" s="82" t="s">
        <v>367</v>
      </c>
      <c r="D20" s="82" t="s">
        <v>368</v>
      </c>
      <c r="E20" s="82" t="s">
        <v>369</v>
      </c>
      <c r="F20" s="82" t="s">
        <v>683</v>
      </c>
      <c r="G20" s="82" t="s">
        <v>684</v>
      </c>
      <c r="H20" s="82" t="s">
        <v>611</v>
      </c>
      <c r="I20" s="83" t="s">
        <v>372</v>
      </c>
      <c r="J20" s="83" t="s">
        <v>612</v>
      </c>
      <c r="K20" s="83" t="s">
        <v>613</v>
      </c>
      <c r="L20" s="83" t="s">
        <v>614</v>
      </c>
      <c r="M20" s="83" t="s">
        <v>763</v>
      </c>
      <c r="O20" s="106"/>
    </row>
    <row r="21" spans="1:24" ht="16" x14ac:dyDescent="0.2">
      <c r="A21" s="71" t="s">
        <v>74</v>
      </c>
      <c r="B21" s="84">
        <f>SUM(J15,L15,N15)/F8</f>
        <v>2.6982864575478785E-2</v>
      </c>
      <c r="C21" s="156">
        <f>F8*(1-B21)</f>
        <v>4.9915779047277935</v>
      </c>
      <c r="D21" s="86">
        <v>0</v>
      </c>
      <c r="E21" s="156">
        <f>G8*(1-D21)</f>
        <v>1409.2815910684799</v>
      </c>
      <c r="F21" s="142">
        <f>SUM(O15,Q15,S15)</f>
        <v>0</v>
      </c>
      <c r="G21" s="142">
        <f>SUM(P15,R15,T15)</f>
        <v>57.74</v>
      </c>
      <c r="H21" s="142">
        <f>SUM(F21,G21)</f>
        <v>57.74</v>
      </c>
      <c r="I21" s="48">
        <f>U15</f>
        <v>40</v>
      </c>
      <c r="J21" s="159">
        <f>(F8*G8)-(C21*E21)</f>
        <v>195.07571066424771</v>
      </c>
      <c r="K21" s="159">
        <f>IFERROR(J34+J21,"-")</f>
        <v>195.07571066424771</v>
      </c>
      <c r="L21" s="159">
        <f>PV('Master Inputs '!Benefit_Discount_Factor,I21,-1)</f>
        <v>23.114771974206437</v>
      </c>
      <c r="M21" s="159">
        <f>IFERROR(L21*K21/H21,"-")</f>
        <v>78.093705744897079</v>
      </c>
    </row>
    <row r="22" spans="1:24" ht="16" x14ac:dyDescent="0.2">
      <c r="A22" s="71" t="s">
        <v>76</v>
      </c>
      <c r="B22" s="84">
        <f>SUM(J16,L16,N16)/F7</f>
        <v>0</v>
      </c>
      <c r="C22" s="156">
        <f>F7*(1-B22)</f>
        <v>6.84</v>
      </c>
      <c r="D22" s="86">
        <v>0</v>
      </c>
      <c r="E22" s="156">
        <f>G7*(1-D22)</f>
        <v>622.90514781654554</v>
      </c>
      <c r="F22" s="142">
        <f>SUM(O16,Q16,S16)</f>
        <v>0</v>
      </c>
      <c r="G22" s="142">
        <f>SUM(P16,R16,T16)</f>
        <v>0</v>
      </c>
      <c r="H22" s="142">
        <f>SUM(F22,G22)</f>
        <v>0</v>
      </c>
      <c r="I22" s="48">
        <f>U16</f>
        <v>40</v>
      </c>
      <c r="J22" s="159">
        <f>(F7*G7)-(C22*E22)</f>
        <v>0</v>
      </c>
      <c r="K22" s="159">
        <f>IFERROR(J35+J22,"-")</f>
        <v>0</v>
      </c>
      <c r="L22" s="159">
        <f>PV('Master Inputs '!Benefit_Discount_Factor,I22,-1)</f>
        <v>23.114771974206437</v>
      </c>
      <c r="M22" s="159" t="str">
        <f>IFERROR(L22*K22/H22,"-")</f>
        <v>-</v>
      </c>
    </row>
    <row r="23" spans="1:24" ht="16" x14ac:dyDescent="0.2">
      <c r="A23" s="71" t="s">
        <v>363</v>
      </c>
      <c r="B23" s="89"/>
      <c r="C23" s="90"/>
      <c r="D23" s="90"/>
      <c r="E23" s="90"/>
      <c r="F23" s="90"/>
      <c r="G23" s="90"/>
      <c r="H23" s="90"/>
      <c r="I23" s="91"/>
      <c r="J23" s="91"/>
      <c r="K23" s="91"/>
      <c r="L23" s="91"/>
      <c r="M23" s="91"/>
    </row>
    <row r="24" spans="1:24" ht="17" thickBot="1" x14ac:dyDescent="0.25">
      <c r="A24" s="71" t="s">
        <v>364</v>
      </c>
      <c r="B24" s="92"/>
      <c r="C24" s="93"/>
      <c r="D24" s="93"/>
      <c r="E24" s="93"/>
      <c r="F24" s="93"/>
      <c r="G24" s="93"/>
      <c r="H24" s="93"/>
      <c r="I24" s="94"/>
      <c r="J24" s="94"/>
      <c r="K24" s="94"/>
      <c r="L24" s="94"/>
      <c r="M24" s="94"/>
    </row>
    <row r="25" spans="1:24" ht="16" thickTop="1" x14ac:dyDescent="0.2">
      <c r="A25" s="63"/>
      <c r="D25" s="63"/>
      <c r="E25" s="63"/>
      <c r="F25" s="63"/>
      <c r="N25" s="62"/>
      <c r="O25" s="62"/>
    </row>
    <row r="26" spans="1:24" ht="30" hidden="1" customHeight="1" x14ac:dyDescent="0.2">
      <c r="A26" s="37" t="s">
        <v>373</v>
      </c>
      <c r="B26" s="60" t="s">
        <v>362</v>
      </c>
      <c r="C26" s="59" t="s">
        <v>362</v>
      </c>
      <c r="D26" s="59" t="s">
        <v>362</v>
      </c>
      <c r="E26" s="59" t="s">
        <v>362</v>
      </c>
      <c r="F26" s="59" t="s">
        <v>362</v>
      </c>
      <c r="G26" s="59" t="s">
        <v>362</v>
      </c>
      <c r="H26" s="59" t="s">
        <v>362</v>
      </c>
      <c r="I26" s="59" t="s">
        <v>362</v>
      </c>
      <c r="J26" s="59" t="s">
        <v>362</v>
      </c>
      <c r="K26" s="59" t="s">
        <v>362</v>
      </c>
      <c r="L26" s="59" t="s">
        <v>362</v>
      </c>
      <c r="M26" s="59" t="s">
        <v>362</v>
      </c>
      <c r="N26" s="59" t="s">
        <v>362</v>
      </c>
      <c r="O26" s="59" t="s">
        <v>362</v>
      </c>
      <c r="P26" s="59" t="s">
        <v>362</v>
      </c>
      <c r="Q26" s="59" t="s">
        <v>362</v>
      </c>
      <c r="R26" s="59" t="s">
        <v>362</v>
      </c>
      <c r="S26" s="59" t="s">
        <v>362</v>
      </c>
    </row>
    <row r="27" spans="1:24" ht="16" hidden="1" x14ac:dyDescent="0.2">
      <c r="A27" s="71" t="s">
        <v>74</v>
      </c>
      <c r="B27" s="96"/>
      <c r="C27" s="97"/>
      <c r="D27" s="97"/>
      <c r="E27" s="97"/>
      <c r="F27" s="97"/>
      <c r="G27" s="97"/>
      <c r="H27" s="97"/>
      <c r="I27" s="97"/>
      <c r="J27" s="99"/>
      <c r="K27" s="99"/>
      <c r="L27" s="117"/>
      <c r="M27" s="97"/>
      <c r="N27" s="117"/>
      <c r="O27" s="117"/>
      <c r="P27" s="117"/>
      <c r="Q27" s="117"/>
      <c r="R27" s="117"/>
      <c r="S27" s="117"/>
    </row>
    <row r="28" spans="1:24" ht="16" hidden="1" x14ac:dyDescent="0.2">
      <c r="A28" s="71" t="s">
        <v>76</v>
      </c>
      <c r="B28" s="96"/>
      <c r="C28" s="97"/>
      <c r="D28" s="97"/>
      <c r="E28" s="97"/>
      <c r="F28" s="97"/>
      <c r="G28" s="97"/>
      <c r="H28" s="97"/>
      <c r="I28" s="97"/>
      <c r="J28" s="97"/>
      <c r="K28" s="97"/>
      <c r="L28" s="97"/>
      <c r="M28" s="97"/>
      <c r="N28" s="117"/>
      <c r="O28" s="117"/>
      <c r="P28" s="117"/>
      <c r="Q28" s="117"/>
      <c r="R28" s="117"/>
      <c r="S28" s="117"/>
    </row>
    <row r="29" spans="1:24" ht="16" hidden="1" x14ac:dyDescent="0.2">
      <c r="A29" s="71" t="s">
        <v>363</v>
      </c>
      <c r="B29" s="96"/>
      <c r="C29" s="97"/>
      <c r="D29" s="97"/>
      <c r="E29" s="97"/>
      <c r="F29" s="97"/>
      <c r="G29" s="97"/>
      <c r="H29" s="97"/>
      <c r="I29" s="97"/>
      <c r="J29" s="97"/>
      <c r="K29" s="97"/>
      <c r="L29" s="97"/>
      <c r="M29" s="97"/>
      <c r="N29" s="117"/>
      <c r="O29" s="117"/>
      <c r="P29" s="117"/>
      <c r="Q29" s="117"/>
      <c r="R29" s="117"/>
      <c r="S29" s="117"/>
    </row>
    <row r="30" spans="1:24" s="62" customFormat="1" ht="16" hidden="1" x14ac:dyDescent="0.2">
      <c r="A30" s="71" t="s">
        <v>364</v>
      </c>
      <c r="B30" s="96"/>
      <c r="C30" s="97"/>
      <c r="D30" s="97"/>
      <c r="E30" s="97"/>
      <c r="F30" s="97"/>
      <c r="G30" s="97"/>
      <c r="H30" s="97"/>
      <c r="I30" s="97"/>
      <c r="J30" s="97"/>
      <c r="K30" s="97"/>
      <c r="L30" s="97"/>
      <c r="M30" s="97"/>
      <c r="N30" s="117"/>
      <c r="O30" s="117"/>
      <c r="P30" s="117"/>
      <c r="Q30" s="117"/>
      <c r="R30" s="117"/>
      <c r="S30" s="117"/>
    </row>
    <row r="31" spans="1:24" s="62" customFormat="1" ht="16" hidden="1" thickBot="1" x14ac:dyDescent="0.25">
      <c r="A31" s="816"/>
      <c r="B31" s="816"/>
      <c r="C31" s="816"/>
      <c r="D31" s="63"/>
      <c r="E31" s="63"/>
      <c r="N31" s="63"/>
    </row>
    <row r="32" spans="1:24" s="62" customFormat="1" ht="33" hidden="1" thickTop="1" x14ac:dyDescent="0.2">
      <c r="A32" s="37" t="s">
        <v>399</v>
      </c>
      <c r="B32" s="81" t="s">
        <v>366</v>
      </c>
      <c r="C32" s="82" t="s">
        <v>367</v>
      </c>
      <c r="D32" s="82" t="s">
        <v>368</v>
      </c>
      <c r="E32" s="82" t="s">
        <v>369</v>
      </c>
      <c r="F32" s="82" t="s">
        <v>683</v>
      </c>
      <c r="G32" s="82" t="s">
        <v>684</v>
      </c>
      <c r="H32" s="82" t="s">
        <v>611</v>
      </c>
      <c r="I32" s="83" t="s">
        <v>372</v>
      </c>
      <c r="J32" s="83" t="s">
        <v>702</v>
      </c>
      <c r="K32" s="83" t="s">
        <v>613</v>
      </c>
      <c r="L32" s="83" t="s">
        <v>614</v>
      </c>
      <c r="M32" s="83" t="s">
        <v>763</v>
      </c>
      <c r="N32" s="63"/>
    </row>
    <row r="33" spans="1:14" s="62" customFormat="1" ht="16" hidden="1" x14ac:dyDescent="0.2">
      <c r="A33" s="71" t="s">
        <v>74</v>
      </c>
      <c r="B33" s="84"/>
      <c r="C33" s="85"/>
      <c r="D33" s="86"/>
      <c r="E33" s="85"/>
      <c r="F33" s="87"/>
      <c r="G33" s="87"/>
      <c r="H33" s="87"/>
      <c r="I33" s="48"/>
      <c r="J33" s="48"/>
      <c r="K33" s="48"/>
      <c r="L33" s="48"/>
      <c r="M33" s="88"/>
      <c r="N33" s="63"/>
    </row>
    <row r="34" spans="1:14" s="62" customFormat="1" ht="16" hidden="1" x14ac:dyDescent="0.2">
      <c r="A34" s="71" t="s">
        <v>76</v>
      </c>
      <c r="B34" s="84"/>
      <c r="C34" s="85"/>
      <c r="D34" s="86"/>
      <c r="E34" s="85"/>
      <c r="F34" s="87"/>
      <c r="G34" s="87"/>
      <c r="H34" s="87"/>
      <c r="I34" s="48"/>
      <c r="J34" s="48"/>
      <c r="K34" s="48"/>
      <c r="L34" s="48"/>
      <c r="M34" s="88"/>
      <c r="N34" s="63"/>
    </row>
    <row r="35" spans="1:14" s="62" customFormat="1" ht="16" hidden="1" x14ac:dyDescent="0.2">
      <c r="A35" s="71" t="s">
        <v>363</v>
      </c>
      <c r="B35" s="89"/>
      <c r="C35" s="90"/>
      <c r="D35" s="90"/>
      <c r="E35" s="90"/>
      <c r="F35" s="90"/>
      <c r="G35" s="90"/>
      <c r="H35" s="90"/>
      <c r="I35" s="91"/>
      <c r="J35" s="91"/>
      <c r="K35" s="91"/>
      <c r="L35" s="91"/>
      <c r="M35" s="91"/>
      <c r="N35" s="63"/>
    </row>
    <row r="36" spans="1:14" s="62" customFormat="1" ht="17" hidden="1" thickBot="1" x14ac:dyDescent="0.25">
      <c r="A36" s="71" t="s">
        <v>364</v>
      </c>
      <c r="B36" s="92"/>
      <c r="C36" s="93"/>
      <c r="D36" s="93"/>
      <c r="E36" s="93"/>
      <c r="F36" s="93"/>
      <c r="G36" s="93"/>
      <c r="H36" s="93"/>
      <c r="I36" s="94"/>
      <c r="J36" s="94"/>
      <c r="K36" s="94"/>
      <c r="L36" s="94"/>
      <c r="M36" s="94"/>
      <c r="N36" s="63"/>
    </row>
    <row r="37" spans="1:14" s="62" customFormat="1" x14ac:dyDescent="0.2">
      <c r="A37" s="103"/>
      <c r="B37" s="103"/>
      <c r="C37" s="104"/>
      <c r="D37" s="105"/>
      <c r="N37" s="63"/>
    </row>
    <row r="38" spans="1:14" s="62" customFormat="1" x14ac:dyDescent="0.2">
      <c r="N38" s="63"/>
    </row>
    <row r="39" spans="1:14" s="62" customFormat="1" x14ac:dyDescent="0.2">
      <c r="N39" s="63"/>
    </row>
    <row r="40" spans="1:14" s="62" customFormat="1" x14ac:dyDescent="0.2">
      <c r="N40" s="63"/>
    </row>
    <row r="41" spans="1:14" s="62" customFormat="1" x14ac:dyDescent="0.2">
      <c r="A41" s="106"/>
      <c r="B41" s="106"/>
      <c r="C41" s="106"/>
      <c r="F41" s="106"/>
      <c r="G41" s="106"/>
      <c r="K41" s="103"/>
      <c r="N41" s="63"/>
    </row>
    <row r="42" spans="1:14" s="62" customFormat="1" x14ac:dyDescent="0.2">
      <c r="A42" s="63"/>
      <c r="B42" s="63"/>
      <c r="F42" s="63"/>
      <c r="K42" s="63"/>
      <c r="N42" s="63"/>
    </row>
    <row r="43" spans="1:14" s="62" customFormat="1" x14ac:dyDescent="0.2">
      <c r="A43" s="63"/>
      <c r="B43" s="63"/>
      <c r="F43" s="63"/>
      <c r="K43" s="63"/>
      <c r="N43" s="63"/>
    </row>
    <row r="44" spans="1:14" s="62" customFormat="1" x14ac:dyDescent="0.2">
      <c r="A44" s="63"/>
      <c r="B44" s="63"/>
      <c r="C44" s="107"/>
      <c r="F44" s="63"/>
      <c r="G44" s="107"/>
      <c r="K44" s="63"/>
      <c r="L44" s="107"/>
      <c r="N44" s="63"/>
    </row>
    <row r="45" spans="1:14" s="62" customFormat="1" x14ac:dyDescent="0.2">
      <c r="A45" s="63"/>
      <c r="B45" s="63"/>
      <c r="F45" s="63"/>
      <c r="K45" s="63"/>
      <c r="N45" s="63"/>
    </row>
    <row r="46" spans="1:14" s="62" customFormat="1" x14ac:dyDescent="0.2">
      <c r="N46" s="63"/>
    </row>
    <row r="47" spans="1:14" s="62" customFormat="1" x14ac:dyDescent="0.2">
      <c r="C47" s="108"/>
      <c r="D47" s="107"/>
      <c r="E47" s="108"/>
      <c r="F47" s="108"/>
      <c r="N47" s="63"/>
    </row>
    <row r="48" spans="1:14" s="62" customFormat="1" x14ac:dyDescent="0.2">
      <c r="N48" s="63"/>
    </row>
    <row r="49" spans="1:14" s="62" customFormat="1" x14ac:dyDescent="0.2">
      <c r="N49" s="63"/>
    </row>
    <row r="51" spans="1:14" s="62" customFormat="1" ht="16" x14ac:dyDescent="0.2">
      <c r="A51" s="109" t="s">
        <v>579</v>
      </c>
      <c r="B51" s="109"/>
      <c r="N51" s="63"/>
    </row>
  </sheetData>
  <mergeCells count="5">
    <mergeCell ref="X15:X16"/>
    <mergeCell ref="A2:A8"/>
    <mergeCell ref="B2:B8"/>
    <mergeCell ref="C2:C8"/>
    <mergeCell ref="A31:C31"/>
  </mergeCells>
  <dataValidations count="1">
    <dataValidation type="list" allowBlank="1" showInputMessage="1" showErrorMessage="1" sqref="E2:E8" xr:uid="{A10BB5F1-7C64-4C20-BFDA-9A7A947EC6BB}">
      <formula1>Answer</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0CA1B-E7EC-864F-B123-99CC8B71A811}">
  <sheetPr>
    <tabColor rgb="FFFFFF00"/>
  </sheetPr>
  <dimension ref="A1:Q51"/>
  <sheetViews>
    <sheetView zoomScale="92" workbookViewId="0">
      <selection activeCell="E42" sqref="E42"/>
    </sheetView>
  </sheetViews>
  <sheetFormatPr baseColWidth="10" defaultColWidth="8.6640625" defaultRowHeight="15" x14ac:dyDescent="0.2"/>
  <cols>
    <col min="1" max="1" width="20.5" style="62" customWidth="1"/>
    <col min="2" max="11" width="15.5" style="62" customWidth="1"/>
    <col min="12" max="13" width="14.5" style="63" customWidth="1"/>
    <col min="14" max="14" width="19.5" style="63" customWidth="1"/>
    <col min="15" max="20" width="14.5" style="63" customWidth="1"/>
    <col min="21" max="16384" width="8.6640625" style="63"/>
  </cols>
  <sheetData>
    <row r="1" spans="1:17" ht="32" x14ac:dyDescent="0.2">
      <c r="A1" s="32" t="s">
        <v>344</v>
      </c>
      <c r="B1" s="33" t="s">
        <v>345</v>
      </c>
      <c r="C1" s="33" t="s">
        <v>346</v>
      </c>
      <c r="D1" s="33" t="s">
        <v>347</v>
      </c>
      <c r="E1" s="33" t="s">
        <v>348</v>
      </c>
      <c r="F1" s="33" t="s">
        <v>349</v>
      </c>
      <c r="G1" s="33" t="s">
        <v>350</v>
      </c>
      <c r="H1" s="33" t="s">
        <v>351</v>
      </c>
      <c r="I1" s="33" t="s">
        <v>352</v>
      </c>
      <c r="J1" s="33" t="s">
        <v>353</v>
      </c>
      <c r="K1" s="70" t="s">
        <v>354</v>
      </c>
      <c r="L1" s="33" t="s">
        <v>355</v>
      </c>
    </row>
    <row r="2" spans="1:17" ht="35.25" customHeight="1" x14ac:dyDescent="0.2">
      <c r="A2" s="813" t="s">
        <v>764</v>
      </c>
      <c r="B2" s="813" t="s">
        <v>765</v>
      </c>
      <c r="C2" s="813" t="s">
        <v>766</v>
      </c>
      <c r="D2" s="44" t="s">
        <v>337</v>
      </c>
      <c r="E2" s="47" t="s">
        <v>359</v>
      </c>
      <c r="F2" s="35" t="s">
        <v>434</v>
      </c>
      <c r="G2" s="35" t="s">
        <v>434</v>
      </c>
      <c r="H2" s="35" t="s">
        <v>434</v>
      </c>
      <c r="I2" s="35" t="s">
        <v>434</v>
      </c>
      <c r="J2" s="35" t="s">
        <v>434</v>
      </c>
      <c r="K2" s="35" t="s">
        <v>434</v>
      </c>
      <c r="L2" s="35" t="s">
        <v>434</v>
      </c>
    </row>
    <row r="3" spans="1:17" ht="35.25" customHeight="1" x14ac:dyDescent="0.2">
      <c r="A3" s="814"/>
      <c r="B3" s="814"/>
      <c r="C3" s="814"/>
      <c r="D3" s="45" t="s">
        <v>338</v>
      </c>
      <c r="E3" s="47" t="s">
        <v>359</v>
      </c>
      <c r="F3" s="35" t="s">
        <v>434</v>
      </c>
      <c r="G3" s="35" t="s">
        <v>434</v>
      </c>
      <c r="H3" s="35" t="s">
        <v>434</v>
      </c>
      <c r="I3" s="35" t="s">
        <v>434</v>
      </c>
      <c r="J3" s="35" t="s">
        <v>434</v>
      </c>
      <c r="K3" s="35" t="s">
        <v>434</v>
      </c>
      <c r="L3" s="35" t="s">
        <v>434</v>
      </c>
      <c r="N3" s="63" t="s">
        <v>767</v>
      </c>
    </row>
    <row r="4" spans="1:17" ht="35.25" customHeight="1" x14ac:dyDescent="0.2">
      <c r="A4" s="814"/>
      <c r="B4" s="814"/>
      <c r="C4" s="814"/>
      <c r="D4" s="45" t="s">
        <v>339</v>
      </c>
      <c r="E4" s="47" t="s">
        <v>359</v>
      </c>
      <c r="F4" s="35" t="s">
        <v>434</v>
      </c>
      <c r="G4" s="35" t="s">
        <v>434</v>
      </c>
      <c r="H4" s="35" t="s">
        <v>434</v>
      </c>
      <c r="I4" s="35" t="s">
        <v>434</v>
      </c>
      <c r="J4" s="35" t="s">
        <v>434</v>
      </c>
      <c r="K4" s="35" t="s">
        <v>434</v>
      </c>
      <c r="L4" s="35" t="s">
        <v>434</v>
      </c>
      <c r="N4" s="63" t="s">
        <v>768</v>
      </c>
    </row>
    <row r="5" spans="1:17" ht="35.25" customHeight="1" x14ac:dyDescent="0.2">
      <c r="A5" s="814"/>
      <c r="B5" s="814"/>
      <c r="C5" s="814"/>
      <c r="D5" s="45" t="s">
        <v>340</v>
      </c>
      <c r="E5" s="47" t="s">
        <v>359</v>
      </c>
      <c r="F5" s="35" t="s">
        <v>434</v>
      </c>
      <c r="G5" s="35" t="s">
        <v>434</v>
      </c>
      <c r="H5" s="35" t="s">
        <v>434</v>
      </c>
      <c r="I5" s="35" t="s">
        <v>434</v>
      </c>
      <c r="J5" s="35" t="s">
        <v>434</v>
      </c>
      <c r="K5" s="35" t="s">
        <v>434</v>
      </c>
      <c r="L5" s="35" t="s">
        <v>434</v>
      </c>
      <c r="N5" s="63" t="s">
        <v>769</v>
      </c>
    </row>
    <row r="6" spans="1:17" ht="35.25" customHeight="1" x14ac:dyDescent="0.2">
      <c r="A6" s="814"/>
      <c r="B6" s="814"/>
      <c r="C6" s="814"/>
      <c r="D6" s="45" t="s">
        <v>341</v>
      </c>
      <c r="E6" s="47" t="s">
        <v>359</v>
      </c>
      <c r="F6" s="35" t="s">
        <v>434</v>
      </c>
      <c r="G6" s="35" t="s">
        <v>434</v>
      </c>
      <c r="H6" s="35" t="s">
        <v>434</v>
      </c>
      <c r="I6" s="35" t="s">
        <v>434</v>
      </c>
      <c r="J6" s="35" t="s">
        <v>434</v>
      </c>
      <c r="K6" s="35" t="s">
        <v>434</v>
      </c>
      <c r="L6" s="35" t="s">
        <v>434</v>
      </c>
    </row>
    <row r="7" spans="1:17" ht="35.25" customHeight="1" x14ac:dyDescent="0.2">
      <c r="A7" s="814"/>
      <c r="B7" s="814"/>
      <c r="C7" s="814"/>
      <c r="D7" s="45" t="s">
        <v>342</v>
      </c>
      <c r="E7" s="47" t="s">
        <v>360</v>
      </c>
      <c r="F7" s="35">
        <v>6.84</v>
      </c>
      <c r="G7" s="35">
        <v>622.90514781654554</v>
      </c>
      <c r="H7" s="35">
        <v>218.71972600295786</v>
      </c>
      <c r="I7" s="35">
        <v>47.07776754348037</v>
      </c>
      <c r="J7" s="35">
        <v>345.828289190742</v>
      </c>
      <c r="K7" s="35">
        <v>11.27936507936508</v>
      </c>
      <c r="L7" s="35">
        <v>4260.6712110651715</v>
      </c>
    </row>
    <row r="8" spans="1:17" ht="35.25" customHeight="1" x14ac:dyDescent="0.2">
      <c r="A8" s="815"/>
      <c r="B8" s="815"/>
      <c r="C8" s="815"/>
      <c r="D8" s="45" t="s">
        <v>343</v>
      </c>
      <c r="E8" s="47" t="s">
        <v>360</v>
      </c>
      <c r="F8" s="35">
        <v>5.13</v>
      </c>
      <c r="G8" s="35">
        <v>1409.2815910684799</v>
      </c>
      <c r="H8" s="35">
        <v>499.93095852085202</v>
      </c>
      <c r="I8" s="35">
        <v>107.6063594406465</v>
      </c>
      <c r="J8" s="35">
        <v>790.46490802761582</v>
      </c>
      <c r="K8" s="35">
        <v>11.27936507936508</v>
      </c>
      <c r="L8" s="35">
        <v>7229.6145621813021</v>
      </c>
    </row>
    <row r="9" spans="1:17" ht="25.5" customHeight="1" x14ac:dyDescent="0.2">
      <c r="A9" s="33" t="s">
        <v>564</v>
      </c>
      <c r="B9" s="36"/>
      <c r="C9" s="36"/>
    </row>
    <row r="10" spans="1:17" ht="25.5" customHeight="1" x14ac:dyDescent="0.2">
      <c r="A10" s="51" t="s">
        <v>770</v>
      </c>
      <c r="B10" s="36"/>
      <c r="C10" s="36"/>
    </row>
    <row r="11" spans="1:17" ht="25.5" customHeight="1" x14ac:dyDescent="0.2">
      <c r="A11" s="36"/>
      <c r="B11" s="36"/>
      <c r="C11" s="36"/>
    </row>
    <row r="12" spans="1:17" s="62" customFormat="1" ht="57.75" customHeight="1" x14ac:dyDescent="0.2">
      <c r="A12" s="37" t="s">
        <v>361</v>
      </c>
      <c r="B12" s="59" t="s">
        <v>771</v>
      </c>
      <c r="C12" s="59" t="s">
        <v>372</v>
      </c>
      <c r="D12" s="59" t="s">
        <v>718</v>
      </c>
      <c r="E12" s="59" t="s">
        <v>719</v>
      </c>
      <c r="F12" s="59" t="s">
        <v>720</v>
      </c>
      <c r="G12" s="59" t="s">
        <v>721</v>
      </c>
      <c r="H12" s="59" t="s">
        <v>722</v>
      </c>
      <c r="I12" s="68" t="s">
        <v>723</v>
      </c>
      <c r="J12" s="468" t="s">
        <v>725</v>
      </c>
      <c r="K12" s="463" t="s">
        <v>757</v>
      </c>
      <c r="L12" s="459" t="s">
        <v>758</v>
      </c>
      <c r="O12" s="63"/>
      <c r="P12" s="63"/>
      <c r="Q12" s="63"/>
    </row>
    <row r="13" spans="1:17" s="62" customFormat="1" ht="29.25" customHeight="1" x14ac:dyDescent="0.2">
      <c r="A13" s="37" t="s">
        <v>606</v>
      </c>
      <c r="B13" s="337" t="s">
        <v>397</v>
      </c>
      <c r="C13" s="337" t="s">
        <v>397</v>
      </c>
      <c r="D13" s="51" t="s">
        <v>397</v>
      </c>
      <c r="E13" s="51" t="s">
        <v>397</v>
      </c>
      <c r="F13" s="51" t="s">
        <v>397</v>
      </c>
      <c r="G13" s="51" t="s">
        <v>397</v>
      </c>
      <c r="H13" s="51" t="s">
        <v>397</v>
      </c>
      <c r="I13" s="477" t="s">
        <v>397</v>
      </c>
      <c r="J13" s="448" t="s">
        <v>397</v>
      </c>
      <c r="K13" s="464" t="s">
        <v>397</v>
      </c>
      <c r="L13" s="460" t="s">
        <v>397</v>
      </c>
      <c r="O13" s="63"/>
      <c r="P13" s="63"/>
      <c r="Q13" s="63"/>
    </row>
    <row r="14" spans="1:17" s="62" customFormat="1" ht="87.75" customHeight="1" x14ac:dyDescent="0.2">
      <c r="A14" s="37" t="s">
        <v>772</v>
      </c>
      <c r="B14" s="37" t="s">
        <v>455</v>
      </c>
      <c r="C14" s="37" t="s">
        <v>455</v>
      </c>
      <c r="D14" s="16" t="s">
        <v>731</v>
      </c>
      <c r="E14" s="16" t="s">
        <v>732</v>
      </c>
      <c r="F14" s="16" t="s">
        <v>731</v>
      </c>
      <c r="G14" s="16" t="s">
        <v>732</v>
      </c>
      <c r="H14" s="16" t="s">
        <v>731</v>
      </c>
      <c r="I14" s="56" t="s">
        <v>732</v>
      </c>
      <c r="J14" s="457"/>
      <c r="K14" s="37" t="s">
        <v>773</v>
      </c>
      <c r="L14" s="461" t="s">
        <v>761</v>
      </c>
      <c r="M14" s="790" t="s">
        <v>774</v>
      </c>
      <c r="N14" s="790"/>
      <c r="O14" s="790"/>
      <c r="P14" s="790"/>
      <c r="Q14" s="790"/>
    </row>
    <row r="15" spans="1:17" ht="16" x14ac:dyDescent="0.2">
      <c r="A15" s="71" t="s">
        <v>74</v>
      </c>
      <c r="B15" s="74">
        <v>0.38</v>
      </c>
      <c r="C15" s="73">
        <v>1</v>
      </c>
      <c r="D15" s="338" t="e">
        <f>47%*D18</f>
        <v>#REF!</v>
      </c>
      <c r="E15" s="489">
        <v>0</v>
      </c>
      <c r="F15" s="338" t="e">
        <f>47%*F18</f>
        <v>#REF!</v>
      </c>
      <c r="G15" s="489">
        <v>0</v>
      </c>
      <c r="H15" s="338" t="e">
        <f>47%*H18</f>
        <v>#REF!</v>
      </c>
      <c r="I15" s="493">
        <v>0</v>
      </c>
      <c r="J15" s="449"/>
      <c r="K15" s="835"/>
      <c r="L15" s="827"/>
      <c r="M15" s="62"/>
      <c r="N15" s="62"/>
    </row>
    <row r="16" spans="1:17" ht="16" x14ac:dyDescent="0.2">
      <c r="A16" s="71" t="s">
        <v>76</v>
      </c>
      <c r="B16" s="74">
        <v>0.68</v>
      </c>
      <c r="C16" s="73">
        <v>1</v>
      </c>
      <c r="D16" s="338" t="e">
        <f>53%*D18</f>
        <v>#REF!</v>
      </c>
      <c r="E16" s="489">
        <v>0</v>
      </c>
      <c r="F16" s="338" t="e">
        <f>53%*F18</f>
        <v>#REF!</v>
      </c>
      <c r="G16" s="489">
        <v>0</v>
      </c>
      <c r="H16" s="338" t="e">
        <f>53%*H18</f>
        <v>#REF!</v>
      </c>
      <c r="I16" s="493">
        <v>0</v>
      </c>
      <c r="J16" s="449"/>
      <c r="K16" s="836"/>
      <c r="L16" s="828"/>
      <c r="M16" s="62"/>
      <c r="N16" s="62"/>
    </row>
    <row r="17" spans="1:17" ht="16" x14ac:dyDescent="0.2">
      <c r="A17" s="71" t="s">
        <v>363</v>
      </c>
      <c r="B17" s="73"/>
      <c r="C17" s="73"/>
      <c r="D17" s="73">
        <v>0</v>
      </c>
      <c r="E17" s="489"/>
      <c r="F17" s="73"/>
      <c r="G17" s="489"/>
      <c r="H17" s="73"/>
      <c r="I17" s="493"/>
      <c r="J17" s="449"/>
      <c r="K17" s="465"/>
      <c r="L17" s="462"/>
      <c r="M17" s="62"/>
      <c r="N17" s="62"/>
    </row>
    <row r="18" spans="1:17" ht="16" x14ac:dyDescent="0.2">
      <c r="A18" s="71" t="s">
        <v>364</v>
      </c>
      <c r="B18" s="73"/>
      <c r="C18" s="73"/>
      <c r="D18" s="479" t="e">
        <f>#REF!+SUM(#REF!)</f>
        <v>#REF!</v>
      </c>
      <c r="E18" s="489"/>
      <c r="F18" s="73" t="e">
        <f>#REF!+SUM(#REF!)</f>
        <v>#REF!</v>
      </c>
      <c r="G18" s="489"/>
      <c r="H18" s="73" t="e">
        <f>#REF!+SUM(#REF!)</f>
        <v>#REF!</v>
      </c>
      <c r="I18" s="493"/>
      <c r="J18" s="450"/>
      <c r="K18" s="466"/>
      <c r="L18" s="467" t="e">
        <f>#REF!+SUM(#REF!)</f>
        <v>#REF!</v>
      </c>
      <c r="M18" s="62"/>
      <c r="N18" s="62"/>
    </row>
    <row r="19" spans="1:17" x14ac:dyDescent="0.2">
      <c r="D19" s="478" t="s">
        <v>775</v>
      </c>
    </row>
    <row r="20" spans="1:17" ht="33" thickTop="1" x14ac:dyDescent="0.2">
      <c r="A20" s="37" t="s">
        <v>365</v>
      </c>
      <c r="B20" s="100" t="s">
        <v>776</v>
      </c>
      <c r="C20" s="101" t="s">
        <v>777</v>
      </c>
      <c r="D20" s="101" t="s">
        <v>771</v>
      </c>
      <c r="E20" s="101" t="s">
        <v>778</v>
      </c>
      <c r="F20" s="101" t="s">
        <v>683</v>
      </c>
      <c r="G20" s="101" t="s">
        <v>684</v>
      </c>
      <c r="H20" s="119" t="s">
        <v>611</v>
      </c>
      <c r="I20" s="102" t="s">
        <v>372</v>
      </c>
      <c r="J20" s="119" t="s">
        <v>405</v>
      </c>
      <c r="K20" s="119" t="s">
        <v>779</v>
      </c>
      <c r="L20" s="102" t="s">
        <v>780</v>
      </c>
      <c r="O20" s="62"/>
    </row>
    <row r="21" spans="1:17" ht="16" x14ac:dyDescent="0.2">
      <c r="A21" s="71" t="s">
        <v>74</v>
      </c>
      <c r="B21" s="137">
        <f>F8</f>
        <v>5.13</v>
      </c>
      <c r="C21" s="122">
        <f>G8</f>
        <v>1409.2815910684799</v>
      </c>
      <c r="D21" s="86">
        <f>B15</f>
        <v>0.38</v>
      </c>
      <c r="E21" s="156">
        <f>B21*C21*D21</f>
        <v>2747.2535336288947</v>
      </c>
      <c r="F21" s="158" t="e">
        <f>SUM(D15,F15,H15)</f>
        <v>#REF!</v>
      </c>
      <c r="G21" s="135">
        <f>SUM(E15,G15,I15)</f>
        <v>0</v>
      </c>
      <c r="H21" s="345" t="e">
        <f>SUM(F21,G21)</f>
        <v>#REF!</v>
      </c>
      <c r="I21" s="48">
        <f>C15</f>
        <v>1</v>
      </c>
      <c r="J21" s="280">
        <f>IFERROR(E21+H34,"-")</f>
        <v>2747.2535336288947</v>
      </c>
      <c r="K21" s="280">
        <f>PV('Master Inputs '!Benefit_Discount_Factor,I21,-1)</f>
        <v>0.97087378640776778</v>
      </c>
      <c r="L21" s="164" t="str">
        <f>IFERROR(J21*K21/H21,"-")</f>
        <v>-</v>
      </c>
      <c r="O21" s="62"/>
      <c r="Q21" s="62"/>
    </row>
    <row r="22" spans="1:17" ht="16" x14ac:dyDescent="0.2">
      <c r="A22" s="71" t="s">
        <v>76</v>
      </c>
      <c r="B22" s="137">
        <f>F7</f>
        <v>6.84</v>
      </c>
      <c r="C22" s="122">
        <f>G7</f>
        <v>622.90514781654554</v>
      </c>
      <c r="D22" s="86">
        <f>B16</f>
        <v>0.68</v>
      </c>
      <c r="E22" s="156">
        <f>B22*C22*D22</f>
        <v>2897.2564235243167</v>
      </c>
      <c r="F22" s="158" t="e">
        <f>SUM(D16,F16,H16)</f>
        <v>#REF!</v>
      </c>
      <c r="G22" s="135">
        <f>SUM(E16,G16,I16)</f>
        <v>0</v>
      </c>
      <c r="H22" s="345" t="e">
        <f>SUM(F22,G22)</f>
        <v>#REF!</v>
      </c>
      <c r="I22" s="48">
        <f>C16</f>
        <v>1</v>
      </c>
      <c r="J22" s="280">
        <f>IFERROR(E22+H35,"-")</f>
        <v>2897.2564235243167</v>
      </c>
      <c r="K22" s="280">
        <f>PV('Master Inputs '!Benefit_Discount_Factor,I22,-1)</f>
        <v>0.97087378640776778</v>
      </c>
      <c r="L22" s="164" t="str">
        <f>IFERROR(J22*K22/H22,"-")</f>
        <v>-</v>
      </c>
      <c r="O22" s="62"/>
      <c r="P22" s="62"/>
      <c r="Q22" s="62"/>
    </row>
    <row r="23" spans="1:17" ht="16" x14ac:dyDescent="0.2">
      <c r="A23" s="71" t="s">
        <v>363</v>
      </c>
      <c r="B23" s="89"/>
      <c r="C23" s="90"/>
      <c r="D23" s="90"/>
      <c r="E23" s="90"/>
      <c r="F23" s="90"/>
      <c r="G23" s="90"/>
      <c r="H23" s="130"/>
      <c r="I23" s="91"/>
      <c r="J23" s="130"/>
      <c r="K23" s="130"/>
      <c r="L23" s="91"/>
      <c r="O23" s="62"/>
      <c r="P23" s="62"/>
      <c r="Q23" s="62"/>
    </row>
    <row r="24" spans="1:17" ht="17" thickBot="1" x14ac:dyDescent="0.25">
      <c r="A24" s="71" t="s">
        <v>364</v>
      </c>
      <c r="B24" s="92"/>
      <c r="C24" s="93"/>
      <c r="D24" s="93"/>
      <c r="E24" s="93"/>
      <c r="F24" s="93"/>
      <c r="G24" s="93"/>
      <c r="H24" s="123"/>
      <c r="I24" s="123"/>
      <c r="J24" s="123"/>
      <c r="K24" s="123"/>
      <c r="L24" s="94"/>
      <c r="O24" s="62"/>
      <c r="P24" s="62"/>
      <c r="Q24" s="62"/>
    </row>
    <row r="25" spans="1:17" ht="16" thickTop="1" x14ac:dyDescent="0.2">
      <c r="A25" s="63"/>
      <c r="D25" s="63"/>
      <c r="E25" s="63"/>
      <c r="F25" s="63"/>
    </row>
    <row r="26" spans="1:17" ht="12" customHeight="1" x14ac:dyDescent="0.2">
      <c r="A26" s="63"/>
      <c r="D26" s="63"/>
      <c r="E26" s="63"/>
      <c r="F26" s="63"/>
    </row>
    <row r="27" spans="1:17" ht="12" hidden="1" customHeight="1" x14ac:dyDescent="0.2">
      <c r="A27" s="37" t="s">
        <v>373</v>
      </c>
      <c r="B27" s="60" t="s">
        <v>620</v>
      </c>
      <c r="C27" s="59" t="s">
        <v>173</v>
      </c>
      <c r="D27" s="59" t="s">
        <v>412</v>
      </c>
      <c r="E27" s="59" t="s">
        <v>621</v>
      </c>
      <c r="F27" s="59" t="s">
        <v>622</v>
      </c>
      <c r="G27" s="59" t="s">
        <v>383</v>
      </c>
      <c r="H27" s="59" t="s">
        <v>387</v>
      </c>
      <c r="I27" s="59" t="s">
        <v>648</v>
      </c>
      <c r="J27" s="59" t="s">
        <v>390</v>
      </c>
      <c r="K27" s="59" t="s">
        <v>781</v>
      </c>
      <c r="L27" s="59" t="s">
        <v>389</v>
      </c>
      <c r="M27" s="61" t="s">
        <v>605</v>
      </c>
      <c r="N27" s="62"/>
    </row>
    <row r="28" spans="1:17" ht="12" hidden="1" customHeight="1" thickBot="1" x14ac:dyDescent="0.25">
      <c r="A28" s="71" t="s">
        <v>74</v>
      </c>
      <c r="B28" s="92"/>
      <c r="C28" s="92"/>
      <c r="D28" s="92"/>
      <c r="E28" s="92"/>
      <c r="F28" s="92"/>
      <c r="G28" s="92"/>
      <c r="H28" s="92"/>
      <c r="I28" s="92"/>
      <c r="J28" s="92"/>
      <c r="K28" s="92"/>
      <c r="L28" s="92"/>
      <c r="M28" s="92"/>
    </row>
    <row r="29" spans="1:17" ht="12" hidden="1" customHeight="1" thickTop="1" thickBot="1" x14ac:dyDescent="0.25">
      <c r="A29" s="71" t="s">
        <v>76</v>
      </c>
      <c r="B29" s="92"/>
      <c r="C29" s="92"/>
      <c r="D29" s="92"/>
      <c r="E29" s="92"/>
      <c r="F29" s="92"/>
      <c r="G29" s="92"/>
      <c r="H29" s="92"/>
      <c r="I29" s="92"/>
      <c r="J29" s="92"/>
      <c r="K29" s="92"/>
      <c r="L29" s="92"/>
      <c r="M29" s="92"/>
    </row>
    <row r="30" spans="1:17" ht="12" hidden="1" customHeight="1" thickTop="1" thickBot="1" x14ac:dyDescent="0.25">
      <c r="A30" s="71" t="s">
        <v>363</v>
      </c>
      <c r="B30" s="92"/>
      <c r="C30" s="92"/>
      <c r="D30" s="92"/>
      <c r="E30" s="92"/>
      <c r="F30" s="92"/>
      <c r="G30" s="92"/>
      <c r="H30" s="92"/>
      <c r="I30" s="92"/>
      <c r="J30" s="92"/>
      <c r="K30" s="92"/>
      <c r="L30" s="92"/>
      <c r="M30" s="92"/>
    </row>
    <row r="31" spans="1:17" s="62" customFormat="1" ht="12" hidden="1" customHeight="1" thickTop="1" thickBot="1" x14ac:dyDescent="0.25">
      <c r="A31" s="71" t="s">
        <v>364</v>
      </c>
      <c r="B31" s="92"/>
      <c r="C31" s="92"/>
      <c r="D31" s="92"/>
      <c r="E31" s="92"/>
      <c r="F31" s="92"/>
      <c r="G31" s="92"/>
      <c r="H31" s="92"/>
      <c r="I31" s="92"/>
      <c r="J31" s="92"/>
      <c r="K31" s="92"/>
      <c r="L31" s="92"/>
      <c r="M31" s="92"/>
    </row>
    <row r="32" spans="1:17" s="62" customFormat="1" ht="12" hidden="1" customHeight="1" thickTop="1" thickBot="1" x14ac:dyDescent="0.25">
      <c r="A32" s="816"/>
      <c r="B32" s="816"/>
      <c r="C32" s="816"/>
      <c r="D32" s="63"/>
      <c r="E32" s="63"/>
    </row>
    <row r="33" spans="1:11" s="62" customFormat="1" ht="33" hidden="1" thickTop="1" x14ac:dyDescent="0.2">
      <c r="A33" s="37" t="s">
        <v>399</v>
      </c>
      <c r="B33" s="100" t="s">
        <v>366</v>
      </c>
      <c r="C33" s="101" t="s">
        <v>367</v>
      </c>
      <c r="D33" s="101" t="s">
        <v>368</v>
      </c>
      <c r="E33" s="101" t="s">
        <v>369</v>
      </c>
      <c r="F33" s="101" t="s">
        <v>370</v>
      </c>
      <c r="G33" s="101" t="s">
        <v>371</v>
      </c>
      <c r="H33" s="119" t="s">
        <v>389</v>
      </c>
      <c r="I33" s="102" t="s">
        <v>372</v>
      </c>
      <c r="K33" s="63"/>
    </row>
    <row r="34" spans="1:11" s="62" customFormat="1" ht="12" hidden="1" customHeight="1" x14ac:dyDescent="0.2">
      <c r="A34" s="71" t="s">
        <v>74</v>
      </c>
      <c r="B34" s="89"/>
      <c r="C34" s="90"/>
      <c r="D34" s="90"/>
      <c r="E34" s="90"/>
      <c r="F34" s="90"/>
      <c r="G34" s="90"/>
      <c r="H34" s="130">
        <v>0</v>
      </c>
      <c r="I34" s="91"/>
      <c r="K34" s="63"/>
    </row>
    <row r="35" spans="1:11" s="62" customFormat="1" ht="12" hidden="1" customHeight="1" x14ac:dyDescent="0.2">
      <c r="A35" s="71" t="s">
        <v>76</v>
      </c>
      <c r="B35" s="89"/>
      <c r="C35" s="90"/>
      <c r="D35" s="90"/>
      <c r="E35" s="90"/>
      <c r="F35" s="90"/>
      <c r="G35" s="90"/>
      <c r="H35" s="130">
        <v>0</v>
      </c>
      <c r="I35" s="91"/>
    </row>
    <row r="36" spans="1:11" s="62" customFormat="1" ht="12" hidden="1" customHeight="1" thickBot="1" x14ac:dyDescent="0.25">
      <c r="A36" s="71" t="s">
        <v>364</v>
      </c>
      <c r="B36" s="92"/>
      <c r="C36" s="93"/>
      <c r="D36" s="93"/>
      <c r="E36" s="93"/>
      <c r="F36" s="93"/>
      <c r="G36" s="93"/>
      <c r="H36" s="123"/>
      <c r="I36" s="94"/>
    </row>
    <row r="37" spans="1:11" s="62" customFormat="1" ht="12" customHeight="1" x14ac:dyDescent="0.2">
      <c r="A37" s="103"/>
      <c r="B37" s="103"/>
      <c r="C37" s="104"/>
      <c r="D37" s="105"/>
    </row>
    <row r="38" spans="1:11" s="62" customFormat="1" ht="12" customHeight="1" x14ac:dyDescent="0.2"/>
    <row r="39" spans="1:11" s="62" customFormat="1" x14ac:dyDescent="0.2"/>
    <row r="40" spans="1:11" s="62" customFormat="1" x14ac:dyDescent="0.2"/>
    <row r="41" spans="1:11" s="62" customFormat="1" x14ac:dyDescent="0.2">
      <c r="C41" s="106"/>
      <c r="F41" s="106"/>
      <c r="G41" s="106"/>
      <c r="K41" s="103"/>
    </row>
    <row r="42" spans="1:11" s="62" customFormat="1" x14ac:dyDescent="0.2">
      <c r="F42" s="63"/>
      <c r="K42" s="63"/>
    </row>
    <row r="43" spans="1:11" s="62" customFormat="1" x14ac:dyDescent="0.2">
      <c r="F43" s="63"/>
      <c r="K43" s="63"/>
    </row>
    <row r="44" spans="1:11" s="62" customFormat="1" x14ac:dyDescent="0.2">
      <c r="C44" s="107"/>
      <c r="F44" s="63"/>
      <c r="G44" s="107"/>
      <c r="K44" s="63"/>
    </row>
    <row r="45" spans="1:11" s="62" customFormat="1" x14ac:dyDescent="0.2">
      <c r="F45" s="63"/>
      <c r="K45" s="63"/>
    </row>
    <row r="46" spans="1:11" s="62" customFormat="1" x14ac:dyDescent="0.2"/>
    <row r="47" spans="1:11" s="62" customFormat="1" x14ac:dyDescent="0.2">
      <c r="C47" s="108"/>
      <c r="D47" s="107"/>
      <c r="E47" s="108"/>
      <c r="F47" s="108"/>
    </row>
    <row r="48" spans="1:11" s="62" customFormat="1" x14ac:dyDescent="0.2"/>
    <row r="49" s="62" customFormat="1" x14ac:dyDescent="0.2"/>
    <row r="51" s="62" customFormat="1" x14ac:dyDescent="0.2"/>
  </sheetData>
  <mergeCells count="7">
    <mergeCell ref="A2:A8"/>
    <mergeCell ref="B2:B8"/>
    <mergeCell ref="C2:C8"/>
    <mergeCell ref="A32:C32"/>
    <mergeCell ref="M14:Q14"/>
    <mergeCell ref="K15:K16"/>
    <mergeCell ref="L15:L16"/>
  </mergeCells>
  <dataValidations disablePrompts="1" count="1">
    <dataValidation type="list" allowBlank="1" showInputMessage="1" showErrorMessage="1" sqref="E2:E8" xr:uid="{BB177A19-1236-B041-9287-23630D05CD84}">
      <formula1>Answer</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CB7D-C6FE-4C99-BBED-836BE3302A13}">
  <sheetPr>
    <tabColor rgb="FFFFFF00"/>
  </sheetPr>
  <dimension ref="A1:U51"/>
  <sheetViews>
    <sheetView topLeftCell="A12" workbookViewId="0">
      <selection activeCell="B15" sqref="B15:B16"/>
    </sheetView>
  </sheetViews>
  <sheetFormatPr baseColWidth="10" defaultColWidth="9.33203125" defaultRowHeight="15" x14ac:dyDescent="0.2"/>
  <cols>
    <col min="1" max="1" width="20.5" style="62" customWidth="1"/>
    <col min="2" max="12" width="15.5" style="62" customWidth="1"/>
    <col min="13" max="13" width="39.83203125" style="62" customWidth="1"/>
    <col min="14" max="15" width="15.5" style="62" customWidth="1"/>
    <col min="16" max="17" width="14.5" style="63" customWidth="1"/>
    <col min="18" max="18" width="19.5" style="63" customWidth="1"/>
    <col min="19" max="24" width="14.5" style="63" customWidth="1"/>
    <col min="25" max="25" width="9.33203125" style="63" bestFit="1" customWidth="1"/>
    <col min="26" max="16384" width="9.33203125" style="63"/>
  </cols>
  <sheetData>
    <row r="1" spans="1:18" ht="32" x14ac:dyDescent="0.2">
      <c r="A1" s="32" t="s">
        <v>344</v>
      </c>
      <c r="B1" s="33" t="s">
        <v>345</v>
      </c>
      <c r="C1" s="33" t="s">
        <v>346</v>
      </c>
      <c r="D1" s="33" t="s">
        <v>347</v>
      </c>
      <c r="E1" s="33" t="s">
        <v>348</v>
      </c>
      <c r="F1" s="33" t="s">
        <v>349</v>
      </c>
      <c r="G1" s="33" t="s">
        <v>350</v>
      </c>
      <c r="H1" s="33" t="s">
        <v>351</v>
      </c>
      <c r="I1" s="33" t="s">
        <v>352</v>
      </c>
      <c r="J1" s="33" t="s">
        <v>353</v>
      </c>
      <c r="K1" s="70" t="s">
        <v>354</v>
      </c>
      <c r="L1" s="33" t="s">
        <v>355</v>
      </c>
    </row>
    <row r="2" spans="1:18" ht="35.25" customHeight="1" x14ac:dyDescent="0.2">
      <c r="A2" s="829" t="s">
        <v>782</v>
      </c>
      <c r="B2" s="832"/>
      <c r="C2" s="285"/>
      <c r="D2" s="44" t="s">
        <v>337</v>
      </c>
      <c r="E2" s="47" t="s">
        <v>359</v>
      </c>
      <c r="F2" s="35" t="s">
        <v>434</v>
      </c>
      <c r="G2" s="35" t="s">
        <v>434</v>
      </c>
      <c r="H2" s="35" t="s">
        <v>434</v>
      </c>
      <c r="I2" s="35" t="s">
        <v>434</v>
      </c>
      <c r="J2" s="35" t="s">
        <v>434</v>
      </c>
      <c r="K2" s="35" t="s">
        <v>434</v>
      </c>
      <c r="L2" s="35" t="s">
        <v>434</v>
      </c>
    </row>
    <row r="3" spans="1:18" ht="35.25" customHeight="1" x14ac:dyDescent="0.2">
      <c r="A3" s="830"/>
      <c r="B3" s="833"/>
      <c r="C3" s="286"/>
      <c r="D3" s="45" t="s">
        <v>338</v>
      </c>
      <c r="E3" s="47" t="s">
        <v>359</v>
      </c>
      <c r="F3" s="35" t="s">
        <v>434</v>
      </c>
      <c r="G3" s="35" t="s">
        <v>434</v>
      </c>
      <c r="H3" s="35" t="s">
        <v>434</v>
      </c>
      <c r="I3" s="35" t="s">
        <v>434</v>
      </c>
      <c r="J3" s="35" t="s">
        <v>434</v>
      </c>
      <c r="K3" s="35" t="s">
        <v>434</v>
      </c>
      <c r="L3" s="35" t="s">
        <v>434</v>
      </c>
    </row>
    <row r="4" spans="1:18" ht="35.25" customHeight="1" x14ac:dyDescent="0.2">
      <c r="A4" s="830"/>
      <c r="B4" s="833"/>
      <c r="C4" s="353" t="s">
        <v>783</v>
      </c>
      <c r="D4" s="45" t="s">
        <v>339</v>
      </c>
      <c r="E4" s="47" t="s">
        <v>359</v>
      </c>
      <c r="F4" s="35" t="s">
        <v>434</v>
      </c>
      <c r="G4" s="35" t="s">
        <v>434</v>
      </c>
      <c r="H4" s="35" t="s">
        <v>434</v>
      </c>
      <c r="I4" s="35" t="s">
        <v>434</v>
      </c>
      <c r="J4" s="35" t="s">
        <v>434</v>
      </c>
      <c r="K4" s="35" t="s">
        <v>434</v>
      </c>
      <c r="L4" s="35" t="s">
        <v>434</v>
      </c>
    </row>
    <row r="5" spans="1:18" ht="35.25" customHeight="1" x14ac:dyDescent="0.2">
      <c r="A5" s="830"/>
      <c r="B5" s="833"/>
      <c r="C5" s="286"/>
      <c r="D5" s="45" t="s">
        <v>340</v>
      </c>
      <c r="E5" s="47" t="s">
        <v>359</v>
      </c>
      <c r="F5" s="35" t="s">
        <v>434</v>
      </c>
      <c r="G5" s="35" t="s">
        <v>434</v>
      </c>
      <c r="H5" s="35" t="s">
        <v>434</v>
      </c>
      <c r="I5" s="35" t="s">
        <v>434</v>
      </c>
      <c r="J5" s="35" t="s">
        <v>434</v>
      </c>
      <c r="K5" s="35" t="s">
        <v>434</v>
      </c>
      <c r="L5" s="35" t="s">
        <v>434</v>
      </c>
    </row>
    <row r="6" spans="1:18" ht="35.25" customHeight="1" x14ac:dyDescent="0.2">
      <c r="A6" s="830"/>
      <c r="B6" s="833"/>
      <c r="C6" s="286"/>
      <c r="D6" s="45" t="s">
        <v>341</v>
      </c>
      <c r="E6" s="47" t="s">
        <v>359</v>
      </c>
      <c r="F6" s="35" t="s">
        <v>434</v>
      </c>
      <c r="G6" s="35" t="s">
        <v>434</v>
      </c>
      <c r="H6" s="35" t="s">
        <v>434</v>
      </c>
      <c r="I6" s="35" t="s">
        <v>434</v>
      </c>
      <c r="J6" s="35" t="s">
        <v>434</v>
      </c>
      <c r="K6" s="35" t="s">
        <v>434</v>
      </c>
      <c r="L6" s="35" t="s">
        <v>434</v>
      </c>
    </row>
    <row r="7" spans="1:18" ht="35.25" customHeight="1" x14ac:dyDescent="0.2">
      <c r="A7" s="830"/>
      <c r="B7" s="833"/>
      <c r="C7" s="286"/>
      <c r="D7" s="45" t="s">
        <v>342</v>
      </c>
      <c r="E7" s="47" t="s">
        <v>360</v>
      </c>
      <c r="F7" s="35">
        <v>6.84</v>
      </c>
      <c r="G7" s="35">
        <v>622.90514781654554</v>
      </c>
      <c r="H7" s="35">
        <v>218.71972600295786</v>
      </c>
      <c r="I7" s="35">
        <v>47.07776754348037</v>
      </c>
      <c r="J7" s="35">
        <v>345.828289190742</v>
      </c>
      <c r="K7" s="35">
        <v>11.27936507936508</v>
      </c>
      <c r="L7" s="35">
        <v>4260.6712110651715</v>
      </c>
    </row>
    <row r="8" spans="1:18" ht="35.25" customHeight="1" x14ac:dyDescent="0.2">
      <c r="A8" s="831"/>
      <c r="B8" s="834"/>
      <c r="C8" s="287"/>
      <c r="D8" s="45" t="s">
        <v>343</v>
      </c>
      <c r="E8" s="47" t="s">
        <v>360</v>
      </c>
      <c r="F8" s="35">
        <v>5.13</v>
      </c>
      <c r="G8" s="35">
        <v>1409.2815910684799</v>
      </c>
      <c r="H8" s="35">
        <v>499.93095852085202</v>
      </c>
      <c r="I8" s="35">
        <v>107.6063594406465</v>
      </c>
      <c r="J8" s="35">
        <v>790.46490802761582</v>
      </c>
      <c r="K8" s="35">
        <v>11.27936507936508</v>
      </c>
      <c r="L8" s="35">
        <v>7229.6145621813021</v>
      </c>
    </row>
    <row r="9" spans="1:18" ht="25.5" customHeight="1" x14ac:dyDescent="0.2">
      <c r="A9" s="33" t="s">
        <v>564</v>
      </c>
      <c r="B9" s="36"/>
      <c r="C9" s="36"/>
      <c r="D9" s="36"/>
      <c r="E9" s="36"/>
      <c r="F9" s="36"/>
      <c r="G9" s="36"/>
    </row>
    <row r="10" spans="1:18" ht="25.5" customHeight="1" x14ac:dyDescent="0.2">
      <c r="A10" s="51" t="s">
        <v>549</v>
      </c>
      <c r="B10" s="36" t="s">
        <v>784</v>
      </c>
      <c r="C10" s="36"/>
      <c r="D10" s="36"/>
      <c r="E10" s="36"/>
      <c r="F10" s="36"/>
      <c r="G10" s="36"/>
    </row>
    <row r="11" spans="1:18" ht="25.5" customHeight="1" thickBot="1" x14ac:dyDescent="0.25">
      <c r="A11" s="36"/>
      <c r="B11" s="36"/>
      <c r="C11" s="36"/>
      <c r="D11" s="36"/>
      <c r="E11" s="36"/>
      <c r="F11" s="36"/>
      <c r="G11" s="36"/>
    </row>
    <row r="12" spans="1:18" s="62" customFormat="1" ht="69" customHeight="1" x14ac:dyDescent="0.2">
      <c r="A12" s="37" t="s">
        <v>361</v>
      </c>
      <c r="B12" s="59" t="s">
        <v>785</v>
      </c>
      <c r="C12" s="59" t="s">
        <v>372</v>
      </c>
      <c r="D12" s="59" t="s">
        <v>718</v>
      </c>
      <c r="E12" s="59" t="s">
        <v>719</v>
      </c>
      <c r="F12" s="59" t="s">
        <v>720</v>
      </c>
      <c r="G12" s="59" t="s">
        <v>721</v>
      </c>
      <c r="H12" s="59" t="s">
        <v>722</v>
      </c>
      <c r="I12" s="59" t="s">
        <v>723</v>
      </c>
      <c r="J12" s="116" t="s">
        <v>725</v>
      </c>
      <c r="K12" s="61" t="s">
        <v>757</v>
      </c>
      <c r="L12" s="61" t="s">
        <v>758</v>
      </c>
      <c r="P12" s="63"/>
      <c r="Q12" s="63"/>
      <c r="R12" s="63"/>
    </row>
    <row r="13" spans="1:18" s="62" customFormat="1" ht="29.25" customHeight="1" x14ac:dyDescent="0.2">
      <c r="A13" s="37" t="s">
        <v>606</v>
      </c>
      <c r="B13" s="337" t="s">
        <v>397</v>
      </c>
      <c r="C13" s="337" t="s">
        <v>397</v>
      </c>
      <c r="D13" s="51" t="s">
        <v>397</v>
      </c>
      <c r="E13" s="51" t="s">
        <v>397</v>
      </c>
      <c r="F13" s="51" t="s">
        <v>397</v>
      </c>
      <c r="G13" s="51" t="s">
        <v>397</v>
      </c>
      <c r="H13" s="51" t="s">
        <v>397</v>
      </c>
      <c r="I13" s="51" t="s">
        <v>397</v>
      </c>
      <c r="J13" s="67" t="s">
        <v>397</v>
      </c>
      <c r="K13" s="67" t="s">
        <v>397</v>
      </c>
      <c r="L13" s="67" t="s">
        <v>397</v>
      </c>
      <c r="P13" s="63"/>
      <c r="Q13" s="63"/>
      <c r="R13" s="63"/>
    </row>
    <row r="14" spans="1:18" s="62" customFormat="1" ht="87.75" customHeight="1" x14ac:dyDescent="0.2">
      <c r="A14" s="37" t="s">
        <v>772</v>
      </c>
      <c r="B14" s="37" t="s">
        <v>550</v>
      </c>
      <c r="C14" s="37"/>
      <c r="D14" s="37" t="s">
        <v>786</v>
      </c>
      <c r="E14" s="37" t="s">
        <v>787</v>
      </c>
      <c r="F14" s="37" t="s">
        <v>787</v>
      </c>
      <c r="G14" s="37" t="s">
        <v>787</v>
      </c>
      <c r="H14" s="37" t="s">
        <v>787</v>
      </c>
      <c r="I14" s="37" t="s">
        <v>787</v>
      </c>
      <c r="J14" s="37"/>
      <c r="K14" s="37" t="s">
        <v>773</v>
      </c>
      <c r="L14" s="37" t="s">
        <v>761</v>
      </c>
      <c r="N14" s="805"/>
      <c r="O14" s="805"/>
      <c r="P14" s="805"/>
      <c r="Q14" s="805"/>
      <c r="R14" s="805"/>
    </row>
    <row r="15" spans="1:18" ht="16" x14ac:dyDescent="0.2">
      <c r="A15" s="71" t="s">
        <v>74</v>
      </c>
      <c r="B15" s="73">
        <v>4.3</v>
      </c>
      <c r="C15" s="73">
        <v>1</v>
      </c>
      <c r="D15" s="452">
        <v>8.8140000000000007E-3</v>
      </c>
      <c r="E15" s="342"/>
      <c r="F15" s="452">
        <v>8.8140000000000007E-3</v>
      </c>
      <c r="G15" s="342"/>
      <c r="H15" s="452">
        <v>8.8140000000000007E-3</v>
      </c>
      <c r="I15" s="73"/>
      <c r="J15" s="78"/>
      <c r="K15" s="837"/>
      <c r="L15" s="837"/>
    </row>
    <row r="16" spans="1:18" ht="16" x14ac:dyDescent="0.2">
      <c r="A16" s="71" t="s">
        <v>76</v>
      </c>
      <c r="B16" s="73">
        <v>4.5999999999999996</v>
      </c>
      <c r="C16" s="73">
        <v>1</v>
      </c>
      <c r="D16" s="452">
        <v>7.6299999999999996E-3</v>
      </c>
      <c r="E16" s="342"/>
      <c r="F16" s="452">
        <v>7.6299999999999996E-3</v>
      </c>
      <c r="G16" s="342"/>
      <c r="H16" s="452">
        <v>7.6299999999999996E-3</v>
      </c>
      <c r="I16" s="73"/>
      <c r="J16" s="78"/>
      <c r="K16" s="838"/>
      <c r="L16" s="838"/>
    </row>
    <row r="17" spans="1:21" ht="17" thickBot="1" x14ac:dyDescent="0.25">
      <c r="A17" s="71" t="s">
        <v>363</v>
      </c>
      <c r="B17" s="73"/>
      <c r="C17" s="73"/>
      <c r="D17" s="342"/>
      <c r="E17" s="342"/>
      <c r="F17" s="342"/>
      <c r="G17" s="342"/>
      <c r="H17" s="342"/>
      <c r="I17" s="73"/>
      <c r="J17" s="78"/>
      <c r="K17" s="136"/>
      <c r="L17" s="136"/>
    </row>
    <row r="18" spans="1:21" ht="17" thickBot="1" x14ac:dyDescent="0.25">
      <c r="A18" s="71" t="s">
        <v>364</v>
      </c>
      <c r="B18" s="73"/>
      <c r="C18" s="73"/>
      <c r="D18" s="483">
        <v>0</v>
      </c>
      <c r="E18" s="483">
        <v>0</v>
      </c>
      <c r="F18" s="483">
        <v>0</v>
      </c>
      <c r="G18" s="483">
        <v>0</v>
      </c>
      <c r="H18" s="483">
        <v>0</v>
      </c>
      <c r="I18" s="73"/>
      <c r="J18" s="80"/>
      <c r="K18" s="110">
        <v>0</v>
      </c>
      <c r="L18" s="110">
        <v>0</v>
      </c>
      <c r="M18" s="62" t="s">
        <v>788</v>
      </c>
    </row>
    <row r="19" spans="1:21" ht="16" thickBot="1" x14ac:dyDescent="0.25"/>
    <row r="20" spans="1:21" ht="33" thickTop="1" x14ac:dyDescent="0.2">
      <c r="A20" s="37" t="s">
        <v>365</v>
      </c>
      <c r="B20" s="101" t="s">
        <v>789</v>
      </c>
      <c r="C20" s="101" t="s">
        <v>778</v>
      </c>
      <c r="D20" s="101" t="s">
        <v>683</v>
      </c>
      <c r="E20" s="101" t="s">
        <v>684</v>
      </c>
      <c r="F20" s="119" t="s">
        <v>611</v>
      </c>
      <c r="G20" s="102" t="s">
        <v>372</v>
      </c>
      <c r="H20" s="119" t="s">
        <v>405</v>
      </c>
      <c r="I20" s="119" t="s">
        <v>779</v>
      </c>
      <c r="J20" s="102" t="s">
        <v>780</v>
      </c>
      <c r="S20" s="62"/>
    </row>
    <row r="21" spans="1:21" ht="16" x14ac:dyDescent="0.2">
      <c r="A21" s="71" t="s">
        <v>74</v>
      </c>
      <c r="B21" s="86">
        <f>B15/5.4</f>
        <v>0.79629629629629617</v>
      </c>
      <c r="C21" s="85">
        <f>F8*G8*B21</f>
        <v>5756.9152995147397</v>
      </c>
      <c r="D21" s="355">
        <f>AVERAGE(D15,F15,H15)</f>
        <v>8.8140000000000007E-3</v>
      </c>
      <c r="E21" s="135">
        <f>SUM(E15,G15,I15)</f>
        <v>0</v>
      </c>
      <c r="F21" s="279">
        <f>SUM(D21,E21)</f>
        <v>8.8140000000000007E-3</v>
      </c>
      <c r="G21" s="48">
        <f>C15</f>
        <v>1</v>
      </c>
      <c r="H21" s="280">
        <f>IFERROR(C21+L34,"-")</f>
        <v>5756.9152995147397</v>
      </c>
      <c r="I21" s="280">
        <f>PV('Master Inputs '!Benefit_Discount_Factor,G21,-1)</f>
        <v>0.97087378640776778</v>
      </c>
      <c r="J21" s="164">
        <f>IFERROR(H21*I21/F21,"-")</f>
        <v>634131.85328666703</v>
      </c>
      <c r="S21" s="62"/>
      <c r="U21" s="62"/>
    </row>
    <row r="22" spans="1:21" ht="16" x14ac:dyDescent="0.2">
      <c r="A22" s="71" t="s">
        <v>76</v>
      </c>
      <c r="B22" s="86">
        <f>B16/7.2</f>
        <v>0.63888888888888884</v>
      </c>
      <c r="C22" s="85">
        <f>F7*G7*B22</f>
        <v>2722.0954959583037</v>
      </c>
      <c r="D22" s="355">
        <f>AVERAGE(D16,F16,H16)</f>
        <v>7.6300000000000005E-3</v>
      </c>
      <c r="E22" s="135">
        <f>SUM(E16,G16,I16)</f>
        <v>0</v>
      </c>
      <c r="F22" s="279">
        <f>SUM(D22,E22)</f>
        <v>7.6300000000000005E-3</v>
      </c>
      <c r="G22" s="48">
        <f>C16</f>
        <v>1</v>
      </c>
      <c r="H22" s="280">
        <f>IFERROR(C22+L35,"-")</f>
        <v>2722.0954959583037</v>
      </c>
      <c r="I22" s="280">
        <f>PV('Master Inputs '!Benefit_Discount_Factor,G22,-1)</f>
        <v>0.97087378640776778</v>
      </c>
      <c r="J22" s="164">
        <f>IFERROR(H22*I22/F22,"-")</f>
        <v>346371.05650387536</v>
      </c>
      <c r="S22" s="62"/>
      <c r="T22" s="62"/>
      <c r="U22" s="62"/>
    </row>
    <row r="23" spans="1:21" ht="16" x14ac:dyDescent="0.2">
      <c r="A23" s="71" t="s">
        <v>363</v>
      </c>
      <c r="B23" s="90"/>
      <c r="C23" s="90"/>
      <c r="D23" s="90"/>
      <c r="E23" s="90"/>
      <c r="F23" s="130"/>
      <c r="G23" s="91"/>
      <c r="H23" s="130"/>
      <c r="I23" s="130"/>
      <c r="J23" s="91"/>
      <c r="S23" s="62"/>
      <c r="T23" s="62"/>
      <c r="U23" s="62"/>
    </row>
    <row r="24" spans="1:21" ht="17" thickBot="1" x14ac:dyDescent="0.25">
      <c r="A24" s="71" t="s">
        <v>364</v>
      </c>
      <c r="B24" s="93"/>
      <c r="C24" s="93"/>
      <c r="D24" s="93"/>
      <c r="E24" s="93"/>
      <c r="F24" s="123"/>
      <c r="G24" s="123"/>
      <c r="H24" s="123"/>
      <c r="I24" s="123"/>
      <c r="J24" s="94"/>
      <c r="S24" s="62"/>
      <c r="T24" s="62"/>
      <c r="U24" s="62"/>
    </row>
    <row r="25" spans="1:21" ht="16" thickTop="1" x14ac:dyDescent="0.2">
      <c r="A25" s="63"/>
      <c r="H25" s="63"/>
      <c r="I25" s="63"/>
      <c r="J25" s="63"/>
    </row>
    <row r="26" spans="1:21" ht="12" customHeight="1" x14ac:dyDescent="0.2">
      <c r="A26" s="63"/>
      <c r="H26" s="63"/>
      <c r="I26" s="63"/>
      <c r="J26" s="63"/>
    </row>
    <row r="27" spans="1:21" ht="12" hidden="1" customHeight="1" x14ac:dyDescent="0.2">
      <c r="A27" s="37" t="s">
        <v>373</v>
      </c>
      <c r="B27" s="60" t="s">
        <v>620</v>
      </c>
      <c r="C27" s="60"/>
      <c r="D27" s="60"/>
      <c r="E27" s="60"/>
      <c r="F27" s="60"/>
      <c r="G27" s="59" t="s">
        <v>173</v>
      </c>
      <c r="H27" s="59" t="s">
        <v>412</v>
      </c>
      <c r="I27" s="59" t="s">
        <v>621</v>
      </c>
      <c r="J27" s="59" t="s">
        <v>622</v>
      </c>
      <c r="K27" s="59" t="s">
        <v>383</v>
      </c>
      <c r="L27" s="59" t="s">
        <v>387</v>
      </c>
      <c r="M27" s="59" t="s">
        <v>648</v>
      </c>
      <c r="N27" s="59" t="s">
        <v>390</v>
      </c>
      <c r="O27" s="59" t="s">
        <v>781</v>
      </c>
      <c r="P27" s="59" t="s">
        <v>389</v>
      </c>
      <c r="Q27" s="61" t="s">
        <v>605</v>
      </c>
      <c r="R27" s="62"/>
    </row>
    <row r="28" spans="1:21" ht="12" hidden="1" customHeight="1" thickBot="1" x14ac:dyDescent="0.25">
      <c r="A28" s="71" t="s">
        <v>74</v>
      </c>
      <c r="B28" s="92"/>
      <c r="C28" s="92"/>
      <c r="D28" s="92"/>
      <c r="E28" s="92"/>
      <c r="F28" s="92"/>
      <c r="G28" s="92"/>
      <c r="H28" s="92"/>
      <c r="I28" s="92"/>
      <c r="J28" s="92"/>
      <c r="K28" s="92"/>
      <c r="L28" s="92"/>
      <c r="M28" s="92"/>
      <c r="N28" s="92"/>
      <c r="O28" s="92"/>
      <c r="P28" s="92"/>
      <c r="Q28" s="92"/>
    </row>
    <row r="29" spans="1:21" ht="12" hidden="1" customHeight="1" thickTop="1" thickBot="1" x14ac:dyDescent="0.25">
      <c r="A29" s="71" t="s">
        <v>76</v>
      </c>
      <c r="B29" s="92"/>
      <c r="C29" s="92"/>
      <c r="D29" s="92"/>
      <c r="E29" s="92"/>
      <c r="F29" s="92"/>
      <c r="G29" s="92"/>
      <c r="H29" s="92"/>
      <c r="I29" s="92"/>
      <c r="J29" s="92"/>
      <c r="K29" s="92"/>
      <c r="L29" s="92"/>
      <c r="M29" s="92"/>
      <c r="N29" s="92"/>
      <c r="O29" s="92"/>
      <c r="P29" s="92"/>
      <c r="Q29" s="92"/>
    </row>
    <row r="30" spans="1:21" ht="12" hidden="1" customHeight="1" thickTop="1" thickBot="1" x14ac:dyDescent="0.25">
      <c r="A30" s="71" t="s">
        <v>363</v>
      </c>
      <c r="B30" s="92"/>
      <c r="C30" s="92"/>
      <c r="D30" s="92"/>
      <c r="E30" s="92"/>
      <c r="F30" s="92"/>
      <c r="G30" s="92"/>
      <c r="H30" s="92"/>
      <c r="I30" s="92"/>
      <c r="J30" s="92"/>
      <c r="K30" s="92"/>
      <c r="L30" s="92"/>
      <c r="M30" s="92"/>
      <c r="N30" s="92"/>
      <c r="O30" s="92"/>
      <c r="P30" s="92"/>
      <c r="Q30" s="92"/>
    </row>
    <row r="31" spans="1:21" s="62" customFormat="1" ht="12" hidden="1" customHeight="1" thickTop="1" thickBot="1" x14ac:dyDescent="0.25">
      <c r="A31" s="71" t="s">
        <v>364</v>
      </c>
      <c r="B31" s="92"/>
      <c r="C31" s="92"/>
      <c r="D31" s="92"/>
      <c r="E31" s="92"/>
      <c r="F31" s="92"/>
      <c r="G31" s="92"/>
      <c r="H31" s="92"/>
      <c r="I31" s="92"/>
      <c r="J31" s="92"/>
      <c r="K31" s="92"/>
      <c r="L31" s="92"/>
      <c r="M31" s="92"/>
      <c r="N31" s="92"/>
      <c r="O31" s="92"/>
      <c r="P31" s="92"/>
      <c r="Q31" s="92"/>
    </row>
    <row r="32" spans="1:21" s="62" customFormat="1" ht="12" hidden="1" customHeight="1" thickTop="1" thickBot="1" x14ac:dyDescent="0.25">
      <c r="A32" s="816"/>
      <c r="B32" s="816"/>
      <c r="C32" s="816"/>
      <c r="D32" s="816"/>
      <c r="E32" s="816"/>
      <c r="F32" s="816"/>
      <c r="G32" s="816"/>
      <c r="H32" s="63"/>
      <c r="I32" s="63"/>
    </row>
    <row r="33" spans="1:15" s="62" customFormat="1" ht="33" hidden="1" thickTop="1" x14ac:dyDescent="0.2">
      <c r="A33" s="37" t="s">
        <v>399</v>
      </c>
      <c r="B33" s="100" t="s">
        <v>366</v>
      </c>
      <c r="C33" s="350"/>
      <c r="D33" s="350"/>
      <c r="E33" s="350"/>
      <c r="F33" s="350"/>
      <c r="G33" s="101" t="s">
        <v>367</v>
      </c>
      <c r="H33" s="101" t="s">
        <v>368</v>
      </c>
      <c r="I33" s="101" t="s">
        <v>369</v>
      </c>
      <c r="J33" s="101" t="s">
        <v>370</v>
      </c>
      <c r="K33" s="101" t="s">
        <v>371</v>
      </c>
      <c r="L33" s="119" t="s">
        <v>389</v>
      </c>
      <c r="M33" s="102" t="s">
        <v>372</v>
      </c>
      <c r="O33" s="63"/>
    </row>
    <row r="34" spans="1:15" s="62" customFormat="1" ht="12" hidden="1" customHeight="1" x14ac:dyDescent="0.2">
      <c r="A34" s="71" t="s">
        <v>74</v>
      </c>
      <c r="B34" s="89"/>
      <c r="C34" s="351"/>
      <c r="D34" s="351"/>
      <c r="E34" s="351"/>
      <c r="F34" s="351"/>
      <c r="G34" s="90"/>
      <c r="H34" s="90"/>
      <c r="I34" s="90"/>
      <c r="J34" s="90"/>
      <c r="K34" s="90"/>
      <c r="L34" s="130">
        <v>0</v>
      </c>
      <c r="M34" s="91"/>
      <c r="O34" s="63"/>
    </row>
    <row r="35" spans="1:15" s="62" customFormat="1" ht="12" hidden="1" customHeight="1" x14ac:dyDescent="0.2">
      <c r="A35" s="71" t="s">
        <v>76</v>
      </c>
      <c r="B35" s="89"/>
      <c r="C35" s="351"/>
      <c r="D35" s="351"/>
      <c r="E35" s="351"/>
      <c r="F35" s="351"/>
      <c r="G35" s="90"/>
      <c r="H35" s="90"/>
      <c r="I35" s="90"/>
      <c r="J35" s="90"/>
      <c r="K35" s="90"/>
      <c r="L35" s="130">
        <v>0</v>
      </c>
      <c r="M35" s="91"/>
    </row>
    <row r="36" spans="1:15" s="62" customFormat="1" ht="12" hidden="1" customHeight="1" thickBot="1" x14ac:dyDescent="0.25">
      <c r="A36" s="71" t="s">
        <v>364</v>
      </c>
      <c r="B36" s="92"/>
      <c r="C36" s="352"/>
      <c r="D36" s="352"/>
      <c r="E36" s="352"/>
      <c r="F36" s="352"/>
      <c r="G36" s="93"/>
      <c r="H36" s="93"/>
      <c r="I36" s="93"/>
      <c r="J36" s="93"/>
      <c r="K36" s="93"/>
      <c r="L36" s="123"/>
      <c r="M36" s="94"/>
    </row>
    <row r="37" spans="1:15" s="62" customFormat="1" ht="12" customHeight="1" x14ac:dyDescent="0.2">
      <c r="A37" s="103"/>
      <c r="B37" s="103"/>
      <c r="C37" s="103"/>
      <c r="D37" s="103"/>
      <c r="E37" s="103"/>
      <c r="F37" s="103"/>
      <c r="G37" s="104"/>
      <c r="H37" s="105"/>
    </row>
    <row r="38" spans="1:15" s="62" customFormat="1" ht="12" customHeight="1" x14ac:dyDescent="0.2"/>
    <row r="39" spans="1:15" s="62" customFormat="1" x14ac:dyDescent="0.2"/>
    <row r="40" spans="1:15" s="62" customFormat="1" x14ac:dyDescent="0.2"/>
    <row r="41" spans="1:15" s="62" customFormat="1" x14ac:dyDescent="0.2">
      <c r="G41" s="106"/>
      <c r="J41" s="106"/>
      <c r="K41" s="106"/>
      <c r="O41" s="103"/>
    </row>
    <row r="42" spans="1:15" s="62" customFormat="1" x14ac:dyDescent="0.2">
      <c r="J42" s="63"/>
      <c r="O42" s="63"/>
    </row>
    <row r="43" spans="1:15" s="62" customFormat="1" x14ac:dyDescent="0.2">
      <c r="J43" s="63"/>
      <c r="O43" s="63"/>
    </row>
    <row r="44" spans="1:15" s="62" customFormat="1" x14ac:dyDescent="0.2">
      <c r="G44" s="107"/>
      <c r="J44" s="63"/>
      <c r="K44" s="107"/>
      <c r="O44" s="63"/>
    </row>
    <row r="45" spans="1:15" s="62" customFormat="1" x14ac:dyDescent="0.2">
      <c r="J45" s="63"/>
      <c r="O45" s="63"/>
    </row>
    <row r="46" spans="1:15" s="62" customFormat="1" x14ac:dyDescent="0.2"/>
    <row r="47" spans="1:15" s="62" customFormat="1" x14ac:dyDescent="0.2">
      <c r="G47" s="108"/>
      <c r="H47" s="107"/>
      <c r="I47" s="108"/>
      <c r="J47" s="108"/>
    </row>
    <row r="48" spans="1:15" s="62" customFormat="1" x14ac:dyDescent="0.2"/>
    <row r="49" s="62" customFormat="1" x14ac:dyDescent="0.2"/>
    <row r="51" s="62" customFormat="1" x14ac:dyDescent="0.2"/>
  </sheetData>
  <mergeCells count="6">
    <mergeCell ref="A2:A8"/>
    <mergeCell ref="B2:B8"/>
    <mergeCell ref="N14:R14"/>
    <mergeCell ref="A32:G32"/>
    <mergeCell ref="K15:K16"/>
    <mergeCell ref="L15:L16"/>
  </mergeCells>
  <dataValidations count="1">
    <dataValidation type="list" allowBlank="1" showInputMessage="1" showErrorMessage="1" sqref="E2:E8" xr:uid="{D2F70982-E070-491D-8A70-309616D0B0CC}">
      <formula1>Answer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DA84C-2DB0-49AA-A58B-7C7BFA8F58F4}">
  <sheetPr>
    <tabColor rgb="FF00B050"/>
  </sheetPr>
  <dimension ref="B2:L33"/>
  <sheetViews>
    <sheetView tabSelected="1" topLeftCell="F1" zoomScale="125" zoomScaleNormal="125" workbookViewId="0">
      <selection activeCell="K24" sqref="K24"/>
    </sheetView>
  </sheetViews>
  <sheetFormatPr baseColWidth="10" defaultColWidth="8.83203125" defaultRowHeight="15" x14ac:dyDescent="0.2"/>
  <cols>
    <col min="1" max="1" width="2.83203125" customWidth="1"/>
    <col min="2" max="2" width="57.5" bestFit="1" customWidth="1"/>
    <col min="3" max="3" width="28.83203125" customWidth="1"/>
    <col min="4" max="4" width="28" customWidth="1"/>
    <col min="5" max="5" width="5.6640625" customWidth="1"/>
    <col min="6" max="6" width="48" bestFit="1" customWidth="1"/>
    <col min="7" max="8" width="19.1640625" bestFit="1" customWidth="1"/>
    <col min="9" max="9" width="6.33203125" customWidth="1"/>
    <col min="10" max="10" width="57.5" bestFit="1" customWidth="1"/>
    <col min="11" max="12" width="36.33203125" bestFit="1" customWidth="1"/>
    <col min="13" max="13" width="23.5" bestFit="1" customWidth="1"/>
    <col min="16" max="16" width="27" customWidth="1"/>
    <col min="17" max="17" width="13.83203125" customWidth="1"/>
  </cols>
  <sheetData>
    <row r="2" spans="2:12" x14ac:dyDescent="0.2">
      <c r="B2" t="s">
        <v>5</v>
      </c>
      <c r="C2" s="691" t="s">
        <v>6</v>
      </c>
      <c r="F2" t="s">
        <v>5</v>
      </c>
      <c r="G2" s="691" t="s">
        <v>7</v>
      </c>
      <c r="J2" t="s">
        <v>5</v>
      </c>
      <c r="K2" s="691" t="s">
        <v>8</v>
      </c>
    </row>
    <row r="3" spans="2:12" ht="32" x14ac:dyDescent="0.2">
      <c r="B3" s="675" t="s">
        <v>9</v>
      </c>
      <c r="C3" s="703" t="s">
        <v>10</v>
      </c>
      <c r="D3" s="703" t="s">
        <v>11</v>
      </c>
      <c r="F3" s="675" t="s">
        <v>12</v>
      </c>
      <c r="G3" s="692" t="s">
        <v>13</v>
      </c>
      <c r="H3" s="692" t="s">
        <v>14</v>
      </c>
      <c r="J3" s="675" t="s">
        <v>12</v>
      </c>
      <c r="K3" s="692" t="s">
        <v>13</v>
      </c>
      <c r="L3" s="692" t="s">
        <v>14</v>
      </c>
    </row>
    <row r="4" spans="2:12" x14ac:dyDescent="0.2">
      <c r="B4" t="s">
        <v>15</v>
      </c>
      <c r="C4" s="693">
        <v>0.4</v>
      </c>
      <c r="D4" s="693">
        <v>0.4</v>
      </c>
      <c r="F4" t="s">
        <v>16</v>
      </c>
      <c r="G4" s="699">
        <v>6.4799999999999995</v>
      </c>
      <c r="H4" s="699">
        <v>7.0200000000000005</v>
      </c>
      <c r="J4" t="s">
        <v>17</v>
      </c>
      <c r="K4" s="699">
        <v>13.5</v>
      </c>
      <c r="L4" s="699">
        <v>13.5</v>
      </c>
    </row>
    <row r="5" spans="2:12" x14ac:dyDescent="0.2">
      <c r="B5" t="s">
        <v>18</v>
      </c>
      <c r="C5" s="694">
        <f>GeneratorGrantProgram!N29</f>
        <v>1</v>
      </c>
      <c r="D5" s="694">
        <f>GeneratorGrantProgram!N30</f>
        <v>0.5</v>
      </c>
      <c r="F5" t="s">
        <v>19</v>
      </c>
      <c r="G5" s="700">
        <f>'Master Inputs '!V50</f>
        <v>4.2979942693409698E-2</v>
      </c>
      <c r="H5" s="700">
        <f>'Master Inputs '!V49</f>
        <v>4.3282236248872855E-2</v>
      </c>
      <c r="J5" t="s">
        <v>19</v>
      </c>
      <c r="K5" s="700">
        <f>'Master Inputs '!V50</f>
        <v>4.2979942693409698E-2</v>
      </c>
      <c r="L5" s="700">
        <f>'Master Inputs '!V49</f>
        <v>4.3282236248872855E-2</v>
      </c>
    </row>
    <row r="6" spans="2:12" x14ac:dyDescent="0.2">
      <c r="B6" t="s">
        <v>20</v>
      </c>
      <c r="C6" s="695">
        <f>IFERROR(C4*C5,"")</f>
        <v>0.4</v>
      </c>
      <c r="D6" s="695">
        <f>IFERROR(D4*D5,"")</f>
        <v>0.2</v>
      </c>
      <c r="F6" t="s">
        <v>21</v>
      </c>
      <c r="G6" s="698"/>
      <c r="H6" s="698"/>
      <c r="J6" t="s">
        <v>21</v>
      </c>
      <c r="K6" s="706"/>
      <c r="L6" s="698"/>
    </row>
    <row r="7" spans="2:12" x14ac:dyDescent="0.2">
      <c r="B7" t="s">
        <v>22</v>
      </c>
      <c r="C7" s="706">
        <v>0</v>
      </c>
      <c r="D7" s="706">
        <v>0</v>
      </c>
      <c r="F7" t="s">
        <v>23</v>
      </c>
      <c r="G7" s="698"/>
      <c r="H7" s="698"/>
      <c r="J7" t="s">
        <v>23</v>
      </c>
      <c r="K7" s="706">
        <v>78.8</v>
      </c>
      <c r="L7" s="698">
        <v>46.3</v>
      </c>
    </row>
    <row r="8" spans="2:12" x14ac:dyDescent="0.2">
      <c r="B8" t="s">
        <v>24</v>
      </c>
      <c r="C8" s="706">
        <v>142.85714285714286</v>
      </c>
      <c r="D8" s="706">
        <v>666.66666666666663</v>
      </c>
      <c r="F8" t="s">
        <v>25</v>
      </c>
      <c r="G8" s="698">
        <v>82</v>
      </c>
      <c r="H8" s="698">
        <v>18</v>
      </c>
      <c r="J8" t="s">
        <v>25</v>
      </c>
      <c r="K8" s="706"/>
      <c r="L8" s="698"/>
    </row>
    <row r="9" spans="2:12" x14ac:dyDescent="0.2">
      <c r="B9" t="s">
        <v>26</v>
      </c>
      <c r="C9" s="706">
        <v>0</v>
      </c>
      <c r="D9" s="706">
        <v>0</v>
      </c>
      <c r="F9" t="s">
        <v>27</v>
      </c>
      <c r="G9" s="698">
        <v>100</v>
      </c>
      <c r="H9" s="698">
        <v>100</v>
      </c>
      <c r="J9" t="s">
        <v>27</v>
      </c>
      <c r="K9" s="698">
        <v>100</v>
      </c>
      <c r="L9" s="698">
        <v>100</v>
      </c>
    </row>
    <row r="10" spans="2:12" x14ac:dyDescent="0.2">
      <c r="B10" t="s">
        <v>28</v>
      </c>
      <c r="C10" s="706">
        <v>857.14285714285711</v>
      </c>
      <c r="D10" s="706">
        <v>3047.6190476190473</v>
      </c>
      <c r="F10" t="s">
        <v>29</v>
      </c>
      <c r="G10" s="693">
        <v>0.64500000000000002</v>
      </c>
      <c r="H10" s="693">
        <v>0.64500000000000002</v>
      </c>
      <c r="J10" t="s">
        <v>29</v>
      </c>
      <c r="K10" s="693">
        <v>0.98</v>
      </c>
      <c r="L10" s="693">
        <v>0.98</v>
      </c>
    </row>
    <row r="11" spans="2:12" x14ac:dyDescent="0.2">
      <c r="B11" t="s">
        <v>30</v>
      </c>
      <c r="C11" s="694">
        <f>C$10*'Master Inputs '!$C$23+'RSE Summary WF Supplemental'!C$7*'Master Inputs '!$C$24+SUM('RSE Summary WF Supplemental'!C$8:C$9)*'Master Inputs '!$C$25</f>
        <v>424.07179979874888</v>
      </c>
      <c r="D11" s="694">
        <f>D$10*'Master Inputs '!$C$23+'RSE Summary WF Supplemental'!D$7*'Master Inputs '!$C$24+SUM('RSE Summary WF Supplemental'!D$8:D$9)*'Master Inputs '!$C$25</f>
        <v>1893.9916107383083</v>
      </c>
      <c r="F11" t="s">
        <v>31</v>
      </c>
      <c r="G11" s="701">
        <f>IFERROR(SUM(G$6:G$8)/G$9*G$10*G$5*G$4,"")</f>
        <v>0.14730395415472766</v>
      </c>
      <c r="H11" s="701">
        <f>IFERROR(SUM(H$6:H$8)/H$9*H$10*H$5*H$4,"")</f>
        <v>3.5275974752028851E-2</v>
      </c>
      <c r="J11" t="s">
        <v>31</v>
      </c>
      <c r="K11" s="701">
        <f>IFERROR(SUM(K$6:K$8)/K$9*K$10*K$5*K$4,"")</f>
        <v>0.44807621776504253</v>
      </c>
      <c r="L11" s="701">
        <f>IFERROR(SUM(L$6:L$8)/L$9*L$10*L$5*L$4,"")</f>
        <v>0.26512490532010813</v>
      </c>
    </row>
    <row r="12" spans="2:12" x14ac:dyDescent="0.2">
      <c r="B12" t="s">
        <v>32</v>
      </c>
      <c r="C12" s="694">
        <f>C$6*C$11</f>
        <v>169.62871991949956</v>
      </c>
      <c r="D12" s="694">
        <f>D$6*D$11</f>
        <v>378.79832214766168</v>
      </c>
      <c r="F12" t="s">
        <v>18</v>
      </c>
      <c r="G12" s="710">
        <f>'Risk Scoring Workpaper Summary'!$D$4</f>
        <v>6.2</v>
      </c>
      <c r="H12" s="710">
        <f>'Risk Scoring Workpaper Summary'!$D$11</f>
        <v>5.8</v>
      </c>
      <c r="J12" t="s">
        <v>18</v>
      </c>
      <c r="K12" s="710">
        <f>'Risk Scoring Workpaper Summary'!$D$4</f>
        <v>6.2</v>
      </c>
      <c r="L12" s="710">
        <f>'Risk Scoring Workpaper Summary'!$D$11</f>
        <v>5.8</v>
      </c>
    </row>
    <row r="13" spans="2:12" x14ac:dyDescent="0.2">
      <c r="B13" t="s">
        <v>33</v>
      </c>
      <c r="C13" s="696">
        <v>3465</v>
      </c>
      <c r="D13" s="696">
        <v>6934</v>
      </c>
      <c r="F13" t="s">
        <v>20</v>
      </c>
      <c r="G13" s="704">
        <f>IFERROR(G$11/G$12,"")</f>
        <v>2.3758702283020589E-2</v>
      </c>
      <c r="H13" s="704">
        <f>IFERROR(H$11/H$12,"")</f>
        <v>6.0820646124187675E-3</v>
      </c>
      <c r="J13" t="s">
        <v>20</v>
      </c>
      <c r="K13" s="704">
        <f>IFERROR(K$11/K$12,"")</f>
        <v>7.2270357704039112E-2</v>
      </c>
      <c r="L13" s="704">
        <f>IFERROR(L$11/L$12,"")</f>
        <v>4.571119057243244E-2</v>
      </c>
    </row>
    <row r="14" spans="2:12" x14ac:dyDescent="0.2">
      <c r="B14" t="s">
        <v>34</v>
      </c>
      <c r="C14" s="696">
        <v>0</v>
      </c>
      <c r="D14" s="696">
        <v>0</v>
      </c>
      <c r="F14" t="s">
        <v>30</v>
      </c>
      <c r="G14" s="710">
        <f>'Risk Scoring Workpaper Summary'!$D$8</f>
        <v>1562.1690689806242</v>
      </c>
      <c r="H14" s="710">
        <f>'Risk Scoring Workpaper Summary'!$D$15</f>
        <v>955.12197700150455</v>
      </c>
      <c r="J14" t="s">
        <v>30</v>
      </c>
      <c r="K14" s="710">
        <f>'Risk Scoring Workpaper Summary'!$D$8</f>
        <v>1562.1690689806242</v>
      </c>
      <c r="L14" s="710">
        <f>'Risk Scoring Workpaper Summary'!$D$15</f>
        <v>955.12197700150455</v>
      </c>
    </row>
    <row r="15" spans="2:12" x14ac:dyDescent="0.2">
      <c r="B15" t="s">
        <v>35</v>
      </c>
      <c r="C15" s="697">
        <f>SUM(C13:C14)</f>
        <v>3465</v>
      </c>
      <c r="D15" s="697">
        <f>SUM(D13:D14)</f>
        <v>6934</v>
      </c>
      <c r="F15" t="s">
        <v>32</v>
      </c>
      <c r="G15" s="710">
        <f>G$12*G$13*G$14</f>
        <v>230.11368091905547</v>
      </c>
      <c r="H15" s="710">
        <f>H$12*H$13*H$14</f>
        <v>33.692858745812956</v>
      </c>
      <c r="J15" t="s">
        <v>36</v>
      </c>
      <c r="K15" s="710">
        <f>K$12*K$13*K$14</f>
        <v>699.97080793837586</v>
      </c>
      <c r="L15" s="710">
        <f>L$12*L$13*L$14</f>
        <v>253.22662372167838</v>
      </c>
    </row>
    <row r="16" spans="2:12" ht="16" x14ac:dyDescent="0.2">
      <c r="B16" t="s">
        <v>37</v>
      </c>
      <c r="C16" s="698">
        <v>10</v>
      </c>
      <c r="D16" s="698">
        <v>10</v>
      </c>
      <c r="F16" t="s">
        <v>33</v>
      </c>
      <c r="G16" s="705">
        <v>1309</v>
      </c>
      <c r="H16" s="705">
        <v>287</v>
      </c>
      <c r="J16" s="675" t="s">
        <v>9</v>
      </c>
      <c r="K16" s="692" t="s">
        <v>38</v>
      </c>
      <c r="L16" s="692" t="s">
        <v>39</v>
      </c>
    </row>
    <row r="17" spans="2:12" x14ac:dyDescent="0.2">
      <c r="B17" t="s">
        <v>40</v>
      </c>
      <c r="C17" s="707">
        <f>PV('Master Inputs '!Benefit_Discount_Factor,'RSE Summary WF Supplemental'!C$16,-1)</f>
        <v>8.5302028367758282</v>
      </c>
      <c r="D17" s="707">
        <f>PV('Master Inputs '!Benefit_Discount_Factor,'RSE Summary WF Supplemental'!D$16,-1)</f>
        <v>8.5302028367758282</v>
      </c>
      <c r="F17" t="s">
        <v>34</v>
      </c>
      <c r="G17" s="705">
        <v>130888</v>
      </c>
      <c r="H17" s="705">
        <v>28731</v>
      </c>
      <c r="J17" t="s">
        <v>15</v>
      </c>
      <c r="K17" s="693">
        <v>1</v>
      </c>
      <c r="L17" s="693">
        <v>1</v>
      </c>
    </row>
    <row r="18" spans="2:12" ht="16" thickBot="1" x14ac:dyDescent="0.25">
      <c r="B18" s="708" t="s">
        <v>41</v>
      </c>
      <c r="C18" s="709">
        <f>C12*C17/C15*1000</f>
        <v>417.59520573043801</v>
      </c>
      <c r="D18" s="709">
        <f>D12*D17/D15*1000</f>
        <v>465.99747939860225</v>
      </c>
      <c r="F18" t="s">
        <v>42</v>
      </c>
      <c r="G18" s="697">
        <f>SUM(G16:G17)</f>
        <v>132197</v>
      </c>
      <c r="H18" s="697">
        <f>SUM(H16:H17)</f>
        <v>29018</v>
      </c>
      <c r="J18" t="s">
        <v>18</v>
      </c>
      <c r="K18" s="259">
        <f>RiskSW_PSPS!$E$47</f>
        <v>3.2</v>
      </c>
      <c r="L18" s="259">
        <f>RiskSW_PSPS!$E$48</f>
        <v>2.4</v>
      </c>
    </row>
    <row r="19" spans="2:12" ht="16" thickTop="1" x14ac:dyDescent="0.2">
      <c r="F19" t="s">
        <v>37</v>
      </c>
      <c r="G19" s="698">
        <v>40</v>
      </c>
      <c r="H19" s="698">
        <v>40</v>
      </c>
      <c r="J19" t="s">
        <v>43</v>
      </c>
      <c r="K19" s="706">
        <v>1293.7577160493827</v>
      </c>
      <c r="L19" s="706">
        <v>1110.8459972862959</v>
      </c>
    </row>
    <row r="20" spans="2:12" x14ac:dyDescent="0.2">
      <c r="F20" t="s">
        <v>40</v>
      </c>
      <c r="G20" s="707">
        <f>PV('Master Inputs '!Benefit_Discount_Factor,'RSE Summary WF Supplemental'!G$19,-1)</f>
        <v>23.114771974206437</v>
      </c>
      <c r="H20" s="707">
        <f>PV('Master Inputs '!Benefit_Discount_Factor,'RSE Summary WF Supplemental'!H$19,-1)</f>
        <v>23.114771974206437</v>
      </c>
      <c r="J20" t="s">
        <v>44</v>
      </c>
      <c r="K20" s="706">
        <v>115.24228395061729</v>
      </c>
      <c r="L20" s="706">
        <v>12.963364993215739</v>
      </c>
    </row>
    <row r="21" spans="2:12" ht="16" thickBot="1" x14ac:dyDescent="0.25">
      <c r="F21" s="708" t="s">
        <v>41</v>
      </c>
      <c r="G21" s="709">
        <f>G$15*G$20/G$18*1000</f>
        <v>40.23559734781626</v>
      </c>
      <c r="H21" s="709">
        <f>H$15*H$20/H$18*1000</f>
        <v>26.838608693521731</v>
      </c>
      <c r="J21" t="s">
        <v>45</v>
      </c>
      <c r="K21" s="706">
        <v>0</v>
      </c>
      <c r="L21" s="706">
        <v>0</v>
      </c>
    </row>
    <row r="22" spans="2:12" ht="16" thickTop="1" x14ac:dyDescent="0.2">
      <c r="J22" t="s">
        <v>46</v>
      </c>
      <c r="K22" s="706">
        <v>0</v>
      </c>
      <c r="L22" s="706">
        <v>0.19063772048846675</v>
      </c>
    </row>
    <row r="23" spans="2:12" x14ac:dyDescent="0.2">
      <c r="J23" t="s">
        <v>30</v>
      </c>
      <c r="K23" s="694">
        <f>K$22*'Master Inputs '!$C$23+'RSE Summary WF Supplemental'!K$19*'Master Inputs '!$C$24+SUM('RSE Summary WF Supplemental'!K$20:K$21)*'Master Inputs '!$C$25</f>
        <v>392.87823582869976</v>
      </c>
      <c r="L23" s="694">
        <f>L$22*'Master Inputs '!$C$23+'RSE Summary WF Supplemental'!L$19*'Master Inputs '!$C$24+SUM('RSE Summary WF Supplemental'!L$20:L$21)*'Master Inputs '!$C$25</f>
        <v>128.15151239104037</v>
      </c>
    </row>
    <row r="24" spans="2:12" x14ac:dyDescent="0.2">
      <c r="J24" t="s">
        <v>47</v>
      </c>
      <c r="K24" s="694">
        <f>K$17*K$18*K$23</f>
        <v>1257.2103546518392</v>
      </c>
      <c r="L24" s="694">
        <f>L$17*L$18*L$23</f>
        <v>307.5636297384969</v>
      </c>
    </row>
    <row r="25" spans="2:12" x14ac:dyDescent="0.2">
      <c r="J25" t="s">
        <v>33</v>
      </c>
      <c r="K25" s="705">
        <v>2592</v>
      </c>
      <c r="L25" s="705">
        <v>1523</v>
      </c>
    </row>
    <row r="26" spans="2:12" x14ac:dyDescent="0.2">
      <c r="J26" t="s">
        <v>34</v>
      </c>
      <c r="K26" s="705">
        <v>259245.99999999997</v>
      </c>
      <c r="L26" s="705">
        <v>152256</v>
      </c>
    </row>
    <row r="27" spans="2:12" x14ac:dyDescent="0.2">
      <c r="J27" t="s">
        <v>42</v>
      </c>
      <c r="K27" s="702">
        <f>SUM(K25:K26)</f>
        <v>261837.99999999997</v>
      </c>
      <c r="L27" s="702">
        <f>SUM(L25:L26)</f>
        <v>153779</v>
      </c>
    </row>
    <row r="28" spans="2:12" x14ac:dyDescent="0.2">
      <c r="J28" t="s">
        <v>37</v>
      </c>
      <c r="K28" s="698">
        <v>40</v>
      </c>
      <c r="L28" s="698">
        <v>40</v>
      </c>
    </row>
    <row r="30" spans="2:12" x14ac:dyDescent="0.2">
      <c r="J30" t="s">
        <v>32</v>
      </c>
      <c r="K30" s="711">
        <f>K$15+K$24</f>
        <v>1957.1811625902151</v>
      </c>
      <c r="L30" s="711">
        <f>L$15+L$24</f>
        <v>560.79025346017534</v>
      </c>
    </row>
    <row r="31" spans="2:12" x14ac:dyDescent="0.2">
      <c r="J31" t="s">
        <v>40</v>
      </c>
      <c r="K31" s="707">
        <f>PV('Master Inputs '!Benefit_Discount_Factor,'RSE Summary WF Supplemental'!K$28,-1)</f>
        <v>23.114771974206437</v>
      </c>
      <c r="L31" s="707">
        <f>PV('Master Inputs '!Benefit_Discount_Factor,'RSE Summary WF Supplemental'!L$28,-1)</f>
        <v>23.114771974206437</v>
      </c>
    </row>
    <row r="32" spans="2:12" ht="16" thickBot="1" x14ac:dyDescent="0.25">
      <c r="J32" s="708" t="s">
        <v>41</v>
      </c>
      <c r="K32" s="709">
        <f>K$30*K$31/K$27*1000</f>
        <v>172.77781027003368</v>
      </c>
      <c r="L32" s="709">
        <f>L$30*L$31/L$27*1000</f>
        <v>84.293296445479456</v>
      </c>
    </row>
    <row r="33" ht="16" thickTop="1" x14ac:dyDescent="0.2"/>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A9EFA-C648-4272-9502-0862B6B8C6E5}">
  <sheetPr>
    <tabColor rgb="FFFFFF00"/>
  </sheetPr>
  <dimension ref="A1:X51"/>
  <sheetViews>
    <sheetView topLeftCell="A14" workbookViewId="0">
      <selection activeCell="F16" sqref="F15:F16"/>
    </sheetView>
  </sheetViews>
  <sheetFormatPr baseColWidth="10" defaultColWidth="9.33203125" defaultRowHeight="15" x14ac:dyDescent="0.2"/>
  <cols>
    <col min="1" max="1" width="20.5" style="62" customWidth="1"/>
    <col min="2" max="16" width="15.5" style="62" customWidth="1"/>
    <col min="17" max="17" width="35.5" style="62" customWidth="1"/>
    <col min="18" max="18" width="15.5" style="62" customWidth="1"/>
    <col min="19" max="20" width="14.5" style="63" customWidth="1"/>
    <col min="21" max="21" width="19.5" style="63" customWidth="1"/>
    <col min="22" max="27" width="14.5" style="63" customWidth="1"/>
    <col min="28" max="28" width="9.33203125" style="63" bestFit="1" customWidth="1"/>
    <col min="29" max="16384" width="9.33203125" style="63"/>
  </cols>
  <sheetData>
    <row r="1" spans="1:21" ht="32" x14ac:dyDescent="0.2">
      <c r="A1" s="32" t="s">
        <v>344</v>
      </c>
      <c r="B1" s="33" t="s">
        <v>345</v>
      </c>
      <c r="C1" s="33" t="s">
        <v>346</v>
      </c>
      <c r="D1" s="33" t="s">
        <v>347</v>
      </c>
      <c r="E1" s="33" t="s">
        <v>348</v>
      </c>
      <c r="F1" s="33" t="s">
        <v>349</v>
      </c>
      <c r="G1" s="33" t="s">
        <v>350</v>
      </c>
      <c r="H1" s="33" t="s">
        <v>351</v>
      </c>
      <c r="I1" s="33" t="s">
        <v>352</v>
      </c>
      <c r="J1" s="33" t="s">
        <v>353</v>
      </c>
      <c r="K1" s="70" t="s">
        <v>354</v>
      </c>
      <c r="L1" s="33" t="s">
        <v>355</v>
      </c>
      <c r="M1" s="63"/>
      <c r="N1" s="63"/>
      <c r="O1" s="63"/>
      <c r="P1" s="63"/>
      <c r="Q1" s="63"/>
      <c r="R1" s="63"/>
    </row>
    <row r="2" spans="1:21" ht="35.25" customHeight="1" x14ac:dyDescent="0.2">
      <c r="A2" s="829" t="s">
        <v>790</v>
      </c>
      <c r="B2" s="832"/>
      <c r="C2" s="285"/>
      <c r="D2" s="44" t="s">
        <v>337</v>
      </c>
      <c r="E2" s="47" t="s">
        <v>359</v>
      </c>
      <c r="F2" s="35" t="s">
        <v>434</v>
      </c>
      <c r="G2" s="35" t="s">
        <v>434</v>
      </c>
      <c r="H2" s="35" t="s">
        <v>434</v>
      </c>
      <c r="I2" s="35" t="s">
        <v>434</v>
      </c>
      <c r="J2" s="35" t="s">
        <v>434</v>
      </c>
      <c r="K2" s="35" t="s">
        <v>434</v>
      </c>
      <c r="L2" s="35" t="s">
        <v>434</v>
      </c>
      <c r="M2" s="63"/>
      <c r="N2" s="63"/>
      <c r="O2" s="63"/>
      <c r="P2" s="63"/>
      <c r="Q2" s="63"/>
      <c r="R2" s="63"/>
    </row>
    <row r="3" spans="1:21" ht="35.25" customHeight="1" x14ac:dyDescent="0.2">
      <c r="A3" s="830"/>
      <c r="B3" s="833"/>
      <c r="C3" s="286"/>
      <c r="D3" s="45" t="s">
        <v>338</v>
      </c>
      <c r="E3" s="47" t="s">
        <v>359</v>
      </c>
      <c r="F3" s="35" t="s">
        <v>434</v>
      </c>
      <c r="G3" s="35" t="s">
        <v>434</v>
      </c>
      <c r="H3" s="35" t="s">
        <v>434</v>
      </c>
      <c r="I3" s="35" t="s">
        <v>434</v>
      </c>
      <c r="J3" s="35" t="s">
        <v>434</v>
      </c>
      <c r="K3" s="35" t="s">
        <v>434</v>
      </c>
      <c r="L3" s="35" t="s">
        <v>434</v>
      </c>
      <c r="M3" s="63"/>
      <c r="N3" s="63"/>
      <c r="O3" s="63"/>
      <c r="P3" s="63"/>
      <c r="Q3" s="63"/>
      <c r="R3" s="63"/>
    </row>
    <row r="4" spans="1:21" ht="35.25" customHeight="1" x14ac:dyDescent="0.2">
      <c r="A4" s="830"/>
      <c r="B4" s="833"/>
      <c r="C4" s="286"/>
      <c r="D4" s="45" t="s">
        <v>339</v>
      </c>
      <c r="E4" s="47" t="s">
        <v>359</v>
      </c>
      <c r="F4" s="35" t="s">
        <v>434</v>
      </c>
      <c r="G4" s="35" t="s">
        <v>434</v>
      </c>
      <c r="H4" s="35" t="s">
        <v>434</v>
      </c>
      <c r="I4" s="35" t="s">
        <v>434</v>
      </c>
      <c r="J4" s="35" t="s">
        <v>434</v>
      </c>
      <c r="K4" s="35" t="s">
        <v>434</v>
      </c>
      <c r="L4" s="35" t="s">
        <v>434</v>
      </c>
      <c r="M4" s="63"/>
      <c r="N4" s="63"/>
      <c r="O4" s="63"/>
      <c r="P4" s="63"/>
      <c r="Q4" s="63"/>
      <c r="R4" s="63"/>
    </row>
    <row r="5" spans="1:21" ht="39.75" customHeight="1" x14ac:dyDescent="0.2">
      <c r="A5" s="830"/>
      <c r="B5" s="833"/>
      <c r="C5" s="286" t="s">
        <v>791</v>
      </c>
      <c r="D5" s="45" t="s">
        <v>340</v>
      </c>
      <c r="E5" s="47" t="s">
        <v>359</v>
      </c>
      <c r="F5" s="35" t="s">
        <v>434</v>
      </c>
      <c r="G5" s="35" t="s">
        <v>434</v>
      </c>
      <c r="H5" s="35" t="s">
        <v>434</v>
      </c>
      <c r="I5" s="35" t="s">
        <v>434</v>
      </c>
      <c r="J5" s="35" t="s">
        <v>434</v>
      </c>
      <c r="K5" s="35" t="s">
        <v>434</v>
      </c>
      <c r="L5" s="35" t="s">
        <v>434</v>
      </c>
      <c r="M5" s="63"/>
      <c r="N5" s="63"/>
      <c r="O5" s="63"/>
      <c r="P5" s="63"/>
      <c r="Q5" s="63"/>
      <c r="R5" s="63"/>
    </row>
    <row r="6" spans="1:21" ht="35.25" customHeight="1" x14ac:dyDescent="0.2">
      <c r="A6" s="830"/>
      <c r="B6" s="833"/>
      <c r="C6" s="286"/>
      <c r="D6" s="45" t="s">
        <v>341</v>
      </c>
      <c r="E6" s="47" t="s">
        <v>359</v>
      </c>
      <c r="F6" s="35" t="s">
        <v>434</v>
      </c>
      <c r="G6" s="35" t="s">
        <v>434</v>
      </c>
      <c r="H6" s="35" t="s">
        <v>434</v>
      </c>
      <c r="I6" s="35" t="s">
        <v>434</v>
      </c>
      <c r="J6" s="35" t="s">
        <v>434</v>
      </c>
      <c r="K6" s="35" t="s">
        <v>434</v>
      </c>
      <c r="L6" s="35" t="s">
        <v>434</v>
      </c>
      <c r="M6" s="63"/>
      <c r="N6" s="63"/>
      <c r="O6" s="63"/>
      <c r="P6" s="63"/>
      <c r="Q6" s="63"/>
      <c r="R6" s="63"/>
    </row>
    <row r="7" spans="1:21" ht="35.25" customHeight="1" x14ac:dyDescent="0.2">
      <c r="A7" s="830"/>
      <c r="B7" s="833"/>
      <c r="C7" s="286"/>
      <c r="D7" s="45" t="s">
        <v>342</v>
      </c>
      <c r="E7" s="47" t="s">
        <v>360</v>
      </c>
      <c r="F7" s="35">
        <v>6.84</v>
      </c>
      <c r="G7" s="35">
        <v>622.90514781654554</v>
      </c>
      <c r="H7" s="35">
        <v>218.71972600295786</v>
      </c>
      <c r="I7" s="35">
        <v>47.07776754348037</v>
      </c>
      <c r="J7" s="35">
        <v>345.828289190742</v>
      </c>
      <c r="K7" s="35">
        <v>11.27936507936508</v>
      </c>
      <c r="L7" s="35">
        <v>4260.6712110651715</v>
      </c>
      <c r="M7" s="63"/>
      <c r="N7" s="63"/>
      <c r="O7" s="63"/>
      <c r="P7" s="63"/>
      <c r="Q7" s="63"/>
      <c r="R7" s="63"/>
    </row>
    <row r="8" spans="1:21" ht="35.25" customHeight="1" x14ac:dyDescent="0.2">
      <c r="A8" s="831"/>
      <c r="B8" s="834"/>
      <c r="C8" s="287"/>
      <c r="D8" s="45" t="s">
        <v>343</v>
      </c>
      <c r="E8" s="47" t="s">
        <v>360</v>
      </c>
      <c r="F8" s="35">
        <v>5.13</v>
      </c>
      <c r="G8" s="35">
        <v>1409.2815910684799</v>
      </c>
      <c r="H8" s="35">
        <v>499.93095852085202</v>
      </c>
      <c r="I8" s="35">
        <v>107.6063594406465</v>
      </c>
      <c r="J8" s="35">
        <v>790.46490802761582</v>
      </c>
      <c r="K8" s="35">
        <v>11.27936507936508</v>
      </c>
      <c r="L8" s="35">
        <v>7229.6145621813021</v>
      </c>
      <c r="M8" s="63"/>
      <c r="N8" s="63"/>
      <c r="O8" s="63"/>
      <c r="P8" s="63"/>
      <c r="Q8" s="63"/>
      <c r="R8" s="63"/>
    </row>
    <row r="9" spans="1:21" ht="25.5" customHeight="1" x14ac:dyDescent="0.2">
      <c r="A9" s="33" t="s">
        <v>564</v>
      </c>
      <c r="B9" s="36"/>
      <c r="C9" s="36"/>
      <c r="D9" s="36"/>
      <c r="E9" s="36"/>
      <c r="F9" s="36"/>
      <c r="G9" s="36"/>
    </row>
    <row r="10" spans="1:21" ht="25.5" customHeight="1" x14ac:dyDescent="0.2">
      <c r="A10" s="51" t="s">
        <v>464</v>
      </c>
      <c r="B10" s="36"/>
      <c r="C10" s="36"/>
      <c r="D10" s="36"/>
      <c r="E10" s="36"/>
      <c r="F10" s="36"/>
      <c r="G10" s="36"/>
    </row>
    <row r="11" spans="1:21" ht="25.5" customHeight="1" thickBot="1" x14ac:dyDescent="0.25">
      <c r="A11" s="36"/>
      <c r="B11" s="36"/>
      <c r="C11" s="36"/>
      <c r="D11" s="36"/>
      <c r="E11" s="36"/>
      <c r="F11" s="36"/>
      <c r="G11" s="36"/>
    </row>
    <row r="12" spans="1:21" s="62" customFormat="1" ht="61.5" customHeight="1" x14ac:dyDescent="0.2">
      <c r="A12" s="37" t="s">
        <v>361</v>
      </c>
      <c r="B12" s="59" t="s">
        <v>792</v>
      </c>
      <c r="C12" s="59" t="s">
        <v>793</v>
      </c>
      <c r="D12" s="59" t="s">
        <v>794</v>
      </c>
      <c r="E12" s="59" t="s">
        <v>795</v>
      </c>
      <c r="F12" s="59" t="s">
        <v>629</v>
      </c>
      <c r="G12" s="59" t="s">
        <v>372</v>
      </c>
      <c r="H12" s="59" t="s">
        <v>718</v>
      </c>
      <c r="I12" s="59" t="s">
        <v>719</v>
      </c>
      <c r="J12" s="59" t="s">
        <v>720</v>
      </c>
      <c r="K12" s="59" t="s">
        <v>721</v>
      </c>
      <c r="L12" s="59" t="s">
        <v>722</v>
      </c>
      <c r="M12" s="59" t="s">
        <v>723</v>
      </c>
      <c r="N12" s="116" t="s">
        <v>725</v>
      </c>
      <c r="O12" s="61" t="s">
        <v>757</v>
      </c>
      <c r="P12" s="61" t="s">
        <v>758</v>
      </c>
      <c r="S12" s="63"/>
      <c r="T12" s="63"/>
      <c r="U12" s="63"/>
    </row>
    <row r="13" spans="1:21" s="62" customFormat="1" ht="29.25" customHeight="1" x14ac:dyDescent="0.2">
      <c r="A13" s="37" t="s">
        <v>606</v>
      </c>
      <c r="B13" s="337" t="s">
        <v>397</v>
      </c>
      <c r="C13" s="337" t="s">
        <v>397</v>
      </c>
      <c r="D13" s="337" t="s">
        <v>397</v>
      </c>
      <c r="E13" s="66" t="s">
        <v>79</v>
      </c>
      <c r="F13" s="66" t="s">
        <v>79</v>
      </c>
      <c r="G13" s="337" t="s">
        <v>397</v>
      </c>
      <c r="H13" s="51" t="s">
        <v>397</v>
      </c>
      <c r="I13" s="51" t="s">
        <v>397</v>
      </c>
      <c r="J13" s="51" t="s">
        <v>397</v>
      </c>
      <c r="K13" s="51" t="s">
        <v>397</v>
      </c>
      <c r="L13" s="51" t="s">
        <v>397</v>
      </c>
      <c r="M13" s="51" t="s">
        <v>397</v>
      </c>
      <c r="N13" s="67" t="s">
        <v>397</v>
      </c>
      <c r="O13" s="67" t="s">
        <v>397</v>
      </c>
      <c r="P13" s="67" t="s">
        <v>397</v>
      </c>
      <c r="S13" s="63"/>
      <c r="T13" s="63"/>
      <c r="U13" s="63"/>
    </row>
    <row r="14" spans="1:21" s="62" customFormat="1" ht="87.75" customHeight="1" x14ac:dyDescent="0.2">
      <c r="A14" s="37" t="s">
        <v>772</v>
      </c>
      <c r="B14" s="37" t="s">
        <v>550</v>
      </c>
      <c r="C14" s="37" t="s">
        <v>550</v>
      </c>
      <c r="D14" s="37" t="s">
        <v>607</v>
      </c>
      <c r="E14" s="37"/>
      <c r="F14" s="37"/>
      <c r="G14" s="37"/>
      <c r="H14" s="37" t="s">
        <v>786</v>
      </c>
      <c r="I14" s="37" t="s">
        <v>786</v>
      </c>
      <c r="J14" s="37" t="s">
        <v>786</v>
      </c>
      <c r="K14" s="37" t="s">
        <v>786</v>
      </c>
      <c r="L14" s="37" t="s">
        <v>786</v>
      </c>
      <c r="M14" s="37" t="s">
        <v>786</v>
      </c>
      <c r="N14" s="37"/>
      <c r="O14" s="37" t="s">
        <v>773</v>
      </c>
      <c r="P14" s="37" t="s">
        <v>761</v>
      </c>
      <c r="Q14" s="805"/>
      <c r="R14" s="805"/>
      <c r="S14" s="805"/>
      <c r="T14" s="805"/>
      <c r="U14" s="805"/>
    </row>
    <row r="15" spans="1:21" ht="16" x14ac:dyDescent="0.2">
      <c r="A15" s="71" t="s">
        <v>74</v>
      </c>
      <c r="B15" s="73">
        <v>48</v>
      </c>
      <c r="C15" s="73">
        <v>50</v>
      </c>
      <c r="D15" s="75">
        <v>0.1</v>
      </c>
      <c r="E15" s="37">
        <f>B15+C15</f>
        <v>98</v>
      </c>
      <c r="F15" s="37">
        <f>E15/5*D15</f>
        <v>1.9600000000000002</v>
      </c>
      <c r="G15" s="73">
        <v>1</v>
      </c>
      <c r="H15" s="73">
        <v>8.8140000000000007E-3</v>
      </c>
      <c r="I15" s="342"/>
      <c r="J15" s="73">
        <v>8.8140000000000007E-3</v>
      </c>
      <c r="K15" s="342"/>
      <c r="L15" s="73">
        <v>8.8140000000000007E-3</v>
      </c>
      <c r="M15" s="73"/>
      <c r="N15" s="78"/>
      <c r="O15" s="837"/>
      <c r="P15" s="837"/>
    </row>
    <row r="16" spans="1:21" ht="16" x14ac:dyDescent="0.2">
      <c r="A16" s="71" t="s">
        <v>76</v>
      </c>
      <c r="B16" s="73">
        <v>13</v>
      </c>
      <c r="C16" s="73">
        <v>46</v>
      </c>
      <c r="D16" s="75">
        <v>0.10340000000000001</v>
      </c>
      <c r="E16" s="37">
        <f>B16+C16</f>
        <v>59</v>
      </c>
      <c r="F16" s="37">
        <f>E16/5*D16</f>
        <v>1.2201200000000001</v>
      </c>
      <c r="G16" s="73">
        <v>1</v>
      </c>
      <c r="H16" s="73">
        <v>7.6299999999999996E-3</v>
      </c>
      <c r="I16" s="342"/>
      <c r="J16" s="73">
        <v>7.6299999999999996E-3</v>
      </c>
      <c r="K16" s="342"/>
      <c r="L16" s="73">
        <v>7.6299999999999996E-3</v>
      </c>
      <c r="M16" s="73"/>
      <c r="N16" s="78"/>
      <c r="O16" s="838"/>
      <c r="P16" s="838"/>
    </row>
    <row r="17" spans="1:24" ht="17" thickBot="1" x14ac:dyDescent="0.25">
      <c r="A17" s="71" t="s">
        <v>363</v>
      </c>
      <c r="B17" s="73"/>
      <c r="C17" s="73"/>
      <c r="D17" s="73"/>
      <c r="E17" s="37"/>
      <c r="F17" s="37"/>
      <c r="G17" s="73"/>
      <c r="H17" s="73"/>
      <c r="I17" s="73"/>
      <c r="J17" s="73"/>
      <c r="K17" s="73"/>
      <c r="L17" s="73"/>
      <c r="M17" s="73"/>
      <c r="N17" s="78"/>
      <c r="O17" s="136"/>
      <c r="P17" s="136"/>
    </row>
    <row r="18" spans="1:24" ht="33" thickBot="1" x14ac:dyDescent="0.25">
      <c r="A18" s="71" t="s">
        <v>364</v>
      </c>
      <c r="B18" s="73"/>
      <c r="C18" s="73"/>
      <c r="D18" s="73"/>
      <c r="E18" s="37"/>
      <c r="F18" s="37"/>
      <c r="G18" s="73"/>
      <c r="H18" s="73">
        <v>0</v>
      </c>
      <c r="I18" s="73"/>
      <c r="J18" s="73">
        <v>0</v>
      </c>
      <c r="K18" s="73"/>
      <c r="L18" s="73">
        <v>0</v>
      </c>
      <c r="M18" s="73"/>
      <c r="N18" s="80"/>
      <c r="O18" s="110"/>
      <c r="P18" s="110">
        <v>0</v>
      </c>
      <c r="Q18" s="62" t="s">
        <v>796</v>
      </c>
    </row>
    <row r="19" spans="1:24" ht="16" thickBot="1" x14ac:dyDescent="0.25"/>
    <row r="20" spans="1:24" ht="33" thickTop="1" x14ac:dyDescent="0.2">
      <c r="A20" s="37" t="s">
        <v>365</v>
      </c>
      <c r="B20" s="100" t="s">
        <v>366</v>
      </c>
      <c r="C20" s="101" t="s">
        <v>367</v>
      </c>
      <c r="D20" s="101" t="s">
        <v>368</v>
      </c>
      <c r="E20" s="101" t="s">
        <v>369</v>
      </c>
      <c r="F20" s="101" t="s">
        <v>683</v>
      </c>
      <c r="G20" s="101" t="s">
        <v>684</v>
      </c>
      <c r="H20" s="101" t="s">
        <v>611</v>
      </c>
      <c r="I20" s="102" t="s">
        <v>372</v>
      </c>
      <c r="J20" s="102" t="s">
        <v>612</v>
      </c>
      <c r="K20" s="102" t="s">
        <v>613</v>
      </c>
      <c r="L20" s="102" t="s">
        <v>614</v>
      </c>
      <c r="M20" s="102" t="s">
        <v>763</v>
      </c>
      <c r="N20" s="395"/>
      <c r="O20" s="395"/>
      <c r="P20" s="395"/>
      <c r="Q20" s="63"/>
      <c r="R20" s="63"/>
      <c r="V20" s="62"/>
    </row>
    <row r="21" spans="1:24" ht="16" x14ac:dyDescent="0.2">
      <c r="A21" s="71" t="s">
        <v>74</v>
      </c>
      <c r="B21" s="84">
        <f>F15/F8</f>
        <v>0.38206627680311894</v>
      </c>
      <c r="C21" s="156">
        <f>F8*(1-B21)</f>
        <v>3.17</v>
      </c>
      <c r="D21" s="86">
        <v>0</v>
      </c>
      <c r="E21" s="156">
        <f>G8*(1-D21)</f>
        <v>1409.2815910684799</v>
      </c>
      <c r="F21" s="142">
        <f>AVERAGE(H15,J15,L15)</f>
        <v>8.8140000000000007E-3</v>
      </c>
      <c r="G21" s="142">
        <f>SUM(I15,K15,M15)</f>
        <v>0</v>
      </c>
      <c r="H21" s="142">
        <f>SUM(F21,G21)</f>
        <v>8.8140000000000007E-3</v>
      </c>
      <c r="I21" s="48">
        <f>G15</f>
        <v>1</v>
      </c>
      <c r="J21" s="159">
        <f>(F8*G8)-(C21*E21)</f>
        <v>2762.1919184942208</v>
      </c>
      <c r="K21" s="159">
        <f>IFERROR(J34+J21,"-")</f>
        <v>2762.1919184942208</v>
      </c>
      <c r="L21" s="159">
        <f>PV('Master Inputs '!Benefit_Discount_Factor,I21,-1)</f>
        <v>0.97087378640776778</v>
      </c>
      <c r="M21" s="159">
        <f>IFERROR(L21*K21/H21,"-")</f>
        <v>304259.10218895169</v>
      </c>
      <c r="N21" s="397"/>
      <c r="O21" s="397"/>
      <c r="P21" s="397"/>
      <c r="Q21" s="63"/>
      <c r="R21" s="63"/>
      <c r="V21" s="62"/>
      <c r="X21" s="62"/>
    </row>
    <row r="22" spans="1:24" ht="16" x14ac:dyDescent="0.2">
      <c r="A22" s="71" t="s">
        <v>76</v>
      </c>
      <c r="B22" s="84">
        <f>F16/F7</f>
        <v>0.17838011695906433</v>
      </c>
      <c r="C22" s="156">
        <f>F7*(1-B22)</f>
        <v>5.6198800000000002</v>
      </c>
      <c r="D22" s="86">
        <v>0</v>
      </c>
      <c r="E22" s="156">
        <f>G7*(1-D22)</f>
        <v>622.90514781654554</v>
      </c>
      <c r="F22" s="142">
        <f>AVERAGE(H16,J16,L16)</f>
        <v>7.6300000000000005E-3</v>
      </c>
      <c r="G22" s="142">
        <f>SUM(I16,K16,M16)</f>
        <v>0</v>
      </c>
      <c r="H22" s="142">
        <f>SUM(F22,G22)</f>
        <v>7.6300000000000005E-3</v>
      </c>
      <c r="I22" s="48">
        <f>G16</f>
        <v>1</v>
      </c>
      <c r="J22" s="159">
        <f>(F7*G7)-(C22*E22)</f>
        <v>760.01902895392368</v>
      </c>
      <c r="K22" s="159">
        <f>IFERROR(J35+J22,"-")</f>
        <v>760.01902895392368</v>
      </c>
      <c r="L22" s="159">
        <f>PV('Master Inputs '!Benefit_Discount_Factor,I22,-1)</f>
        <v>0.97087378640776778</v>
      </c>
      <c r="M22" s="159">
        <f>IFERROR(L22*K22/H22,"-")</f>
        <v>96708.067153663258</v>
      </c>
      <c r="N22" s="397"/>
      <c r="O22" s="397"/>
      <c r="P22" s="397"/>
      <c r="Q22" s="63"/>
      <c r="R22" s="63"/>
      <c r="V22" s="62"/>
      <c r="W22" s="62"/>
      <c r="X22" s="62"/>
    </row>
    <row r="23" spans="1:24" ht="16" x14ac:dyDescent="0.2">
      <c r="A23" s="71" t="s">
        <v>363</v>
      </c>
      <c r="B23" s="89"/>
      <c r="C23" s="90"/>
      <c r="D23" s="90"/>
      <c r="E23" s="90"/>
      <c r="F23" s="142"/>
      <c r="G23" s="90"/>
      <c r="H23" s="90"/>
      <c r="I23" s="48"/>
      <c r="J23" s="91"/>
      <c r="K23" s="91"/>
      <c r="L23" s="91"/>
      <c r="M23" s="91"/>
      <c r="N23" s="396"/>
      <c r="O23" s="396"/>
      <c r="P23" s="396"/>
      <c r="Q23" s="63"/>
      <c r="R23" s="63"/>
      <c r="V23" s="62"/>
      <c r="W23" s="62"/>
      <c r="X23" s="62"/>
    </row>
    <row r="24" spans="1:24" ht="17" thickBot="1" x14ac:dyDescent="0.25">
      <c r="A24" s="71" t="s">
        <v>364</v>
      </c>
      <c r="B24" s="92"/>
      <c r="C24" s="93"/>
      <c r="D24" s="93"/>
      <c r="E24" s="93"/>
      <c r="F24" s="93"/>
      <c r="G24" s="93"/>
      <c r="H24" s="93"/>
      <c r="I24" s="94"/>
      <c r="J24" s="94"/>
      <c r="K24" s="94"/>
      <c r="L24" s="94"/>
      <c r="M24" s="94"/>
      <c r="N24" s="396"/>
      <c r="O24" s="396"/>
      <c r="P24" s="396"/>
      <c r="Q24" s="63"/>
      <c r="R24" s="63"/>
      <c r="V24" s="62"/>
      <c r="W24" s="62"/>
      <c r="X24" s="62"/>
    </row>
    <row r="25" spans="1:24" ht="16" thickTop="1" x14ac:dyDescent="0.2">
      <c r="A25" s="63"/>
      <c r="H25" s="63"/>
      <c r="I25" s="63"/>
      <c r="J25" s="63"/>
    </row>
    <row r="26" spans="1:24" ht="12" customHeight="1" x14ac:dyDescent="0.2">
      <c r="A26" s="63"/>
      <c r="H26" s="63"/>
      <c r="I26" s="63"/>
      <c r="J26" s="63"/>
    </row>
    <row r="27" spans="1:24" ht="12" hidden="1" customHeight="1" x14ac:dyDescent="0.2">
      <c r="A27" s="37" t="s">
        <v>373</v>
      </c>
      <c r="B27" s="60" t="s">
        <v>620</v>
      </c>
      <c r="C27" s="60"/>
      <c r="D27" s="60"/>
      <c r="E27" s="60"/>
      <c r="F27" s="60"/>
      <c r="G27" s="59" t="s">
        <v>173</v>
      </c>
      <c r="H27" s="59" t="s">
        <v>412</v>
      </c>
      <c r="I27" s="59" t="s">
        <v>621</v>
      </c>
      <c r="J27" s="59" t="s">
        <v>622</v>
      </c>
      <c r="K27" s="59" t="s">
        <v>383</v>
      </c>
      <c r="L27" s="59" t="s">
        <v>387</v>
      </c>
      <c r="M27" s="59" t="s">
        <v>648</v>
      </c>
      <c r="N27" s="59"/>
      <c r="O27" s="59"/>
      <c r="P27" s="59"/>
      <c r="Q27" s="59" t="s">
        <v>390</v>
      </c>
      <c r="R27" s="59" t="s">
        <v>781</v>
      </c>
      <c r="S27" s="59" t="s">
        <v>389</v>
      </c>
      <c r="T27" s="61" t="s">
        <v>605</v>
      </c>
      <c r="U27" s="62"/>
    </row>
    <row r="28" spans="1:24" ht="12" hidden="1" customHeight="1" thickBot="1" x14ac:dyDescent="0.25">
      <c r="A28" s="71" t="s">
        <v>74</v>
      </c>
      <c r="B28" s="92"/>
      <c r="C28" s="92"/>
      <c r="D28" s="92"/>
      <c r="E28" s="92"/>
      <c r="F28" s="92"/>
      <c r="G28" s="92"/>
      <c r="H28" s="92"/>
      <c r="I28" s="92"/>
      <c r="J28" s="92"/>
      <c r="K28" s="92"/>
      <c r="L28" s="92"/>
      <c r="M28" s="92"/>
      <c r="N28" s="92"/>
      <c r="O28" s="92"/>
      <c r="P28" s="92"/>
      <c r="Q28" s="92"/>
      <c r="R28" s="92"/>
      <c r="S28" s="92"/>
      <c r="T28" s="92"/>
    </row>
    <row r="29" spans="1:24" ht="12" hidden="1" customHeight="1" thickTop="1" thickBot="1" x14ac:dyDescent="0.25">
      <c r="A29" s="71" t="s">
        <v>76</v>
      </c>
      <c r="B29" s="92"/>
      <c r="C29" s="92"/>
      <c r="D29" s="92"/>
      <c r="E29" s="92"/>
      <c r="F29" s="92"/>
      <c r="G29" s="92"/>
      <c r="H29" s="92"/>
      <c r="I29" s="92"/>
      <c r="J29" s="92"/>
      <c r="K29" s="92"/>
      <c r="L29" s="92"/>
      <c r="M29" s="92"/>
      <c r="N29" s="92"/>
      <c r="O29" s="92"/>
      <c r="P29" s="92"/>
      <c r="Q29" s="92"/>
      <c r="R29" s="92"/>
      <c r="S29" s="92"/>
      <c r="T29" s="92"/>
    </row>
    <row r="30" spans="1:24" ht="12" hidden="1" customHeight="1" thickTop="1" thickBot="1" x14ac:dyDescent="0.25">
      <c r="A30" s="71" t="s">
        <v>363</v>
      </c>
      <c r="B30" s="92"/>
      <c r="C30" s="92"/>
      <c r="D30" s="92"/>
      <c r="E30" s="92"/>
      <c r="F30" s="92"/>
      <c r="G30" s="92"/>
      <c r="H30" s="92"/>
      <c r="I30" s="92"/>
      <c r="J30" s="92"/>
      <c r="K30" s="92"/>
      <c r="L30" s="92"/>
      <c r="M30" s="92"/>
      <c r="N30" s="92"/>
      <c r="O30" s="92"/>
      <c r="P30" s="92"/>
      <c r="Q30" s="92"/>
      <c r="R30" s="92"/>
      <c r="S30" s="92"/>
      <c r="T30" s="92"/>
    </row>
    <row r="31" spans="1:24" s="62" customFormat="1" ht="12" hidden="1" customHeight="1" thickTop="1" thickBot="1" x14ac:dyDescent="0.25">
      <c r="A31" s="71" t="s">
        <v>364</v>
      </c>
      <c r="B31" s="92"/>
      <c r="C31" s="92"/>
      <c r="D31" s="92"/>
      <c r="E31" s="92"/>
      <c r="F31" s="92"/>
      <c r="G31" s="92"/>
      <c r="H31" s="92"/>
      <c r="I31" s="92"/>
      <c r="J31" s="92"/>
      <c r="K31" s="92"/>
      <c r="L31" s="92"/>
      <c r="M31" s="92"/>
      <c r="N31" s="92"/>
      <c r="O31" s="92"/>
      <c r="P31" s="92"/>
      <c r="Q31" s="92"/>
      <c r="R31" s="92"/>
      <c r="S31" s="92"/>
      <c r="T31" s="92"/>
    </row>
    <row r="32" spans="1:24" s="62" customFormat="1" ht="12" hidden="1" customHeight="1" thickTop="1" thickBot="1" x14ac:dyDescent="0.25">
      <c r="A32" s="816"/>
      <c r="B32" s="816"/>
      <c r="C32" s="816"/>
      <c r="D32" s="816"/>
      <c r="E32" s="816"/>
      <c r="F32" s="816"/>
      <c r="G32" s="816"/>
      <c r="H32" s="63"/>
      <c r="I32" s="63"/>
    </row>
    <row r="33" spans="1:18" s="62" customFormat="1" ht="33" hidden="1" thickTop="1" x14ac:dyDescent="0.2">
      <c r="A33" s="37" t="s">
        <v>399</v>
      </c>
      <c r="B33" s="100" t="s">
        <v>366</v>
      </c>
      <c r="C33" s="350"/>
      <c r="D33" s="350"/>
      <c r="E33" s="350"/>
      <c r="F33" s="350"/>
      <c r="G33" s="101" t="s">
        <v>367</v>
      </c>
      <c r="H33" s="101" t="s">
        <v>368</v>
      </c>
      <c r="I33" s="101" t="s">
        <v>369</v>
      </c>
      <c r="J33" s="101" t="s">
        <v>370</v>
      </c>
      <c r="K33" s="101" t="s">
        <v>371</v>
      </c>
      <c r="L33" s="119" t="s">
        <v>389</v>
      </c>
      <c r="M33" s="102" t="s">
        <v>372</v>
      </c>
      <c r="N33" s="395"/>
      <c r="O33" s="395"/>
      <c r="P33" s="395"/>
      <c r="R33" s="63"/>
    </row>
    <row r="34" spans="1:18" s="62" customFormat="1" ht="12" hidden="1" customHeight="1" x14ac:dyDescent="0.2">
      <c r="A34" s="71" t="s">
        <v>74</v>
      </c>
      <c r="B34" s="89"/>
      <c r="C34" s="351"/>
      <c r="D34" s="351"/>
      <c r="E34" s="351"/>
      <c r="F34" s="351"/>
      <c r="G34" s="90"/>
      <c r="H34" s="90"/>
      <c r="I34" s="90"/>
      <c r="J34" s="90"/>
      <c r="K34" s="90"/>
      <c r="L34" s="130">
        <v>0</v>
      </c>
      <c r="M34" s="91"/>
      <c r="N34" s="396"/>
      <c r="O34" s="396"/>
      <c r="P34" s="396"/>
      <c r="R34" s="63"/>
    </row>
    <row r="35" spans="1:18" s="62" customFormat="1" ht="12" hidden="1" customHeight="1" x14ac:dyDescent="0.2">
      <c r="A35" s="71" t="s">
        <v>76</v>
      </c>
      <c r="B35" s="89"/>
      <c r="C35" s="351"/>
      <c r="D35" s="351"/>
      <c r="E35" s="351"/>
      <c r="F35" s="351"/>
      <c r="G35" s="90"/>
      <c r="H35" s="90"/>
      <c r="I35" s="90"/>
      <c r="J35" s="90"/>
      <c r="K35" s="90"/>
      <c r="L35" s="130">
        <v>0</v>
      </c>
      <c r="M35" s="91"/>
      <c r="N35" s="396"/>
      <c r="O35" s="396"/>
      <c r="P35" s="396"/>
    </row>
    <row r="36" spans="1:18" s="62" customFormat="1" ht="12" hidden="1" customHeight="1" thickBot="1" x14ac:dyDescent="0.25">
      <c r="A36" s="71" t="s">
        <v>364</v>
      </c>
      <c r="B36" s="92"/>
      <c r="C36" s="352"/>
      <c r="D36" s="352"/>
      <c r="E36" s="352"/>
      <c r="F36" s="352"/>
      <c r="G36" s="93"/>
      <c r="H36" s="93"/>
      <c r="I36" s="93"/>
      <c r="J36" s="93"/>
      <c r="K36" s="93"/>
      <c r="L36" s="123"/>
      <c r="M36" s="94"/>
      <c r="N36" s="396"/>
      <c r="O36" s="396"/>
      <c r="P36" s="396"/>
    </row>
    <row r="37" spans="1:18" s="62" customFormat="1" ht="12" customHeight="1" x14ac:dyDescent="0.2">
      <c r="A37" s="103"/>
      <c r="B37" s="103"/>
      <c r="C37" s="103"/>
      <c r="D37" s="103"/>
      <c r="E37" s="103"/>
      <c r="F37" s="103"/>
      <c r="G37" s="104"/>
      <c r="H37" s="105"/>
    </row>
    <row r="38" spans="1:18" s="62" customFormat="1" ht="12" customHeight="1" x14ac:dyDescent="0.2"/>
    <row r="39" spans="1:18" s="62" customFormat="1" x14ac:dyDescent="0.2"/>
    <row r="40" spans="1:18" s="62" customFormat="1" x14ac:dyDescent="0.2"/>
    <row r="41" spans="1:18" s="62" customFormat="1" x14ac:dyDescent="0.2">
      <c r="G41" s="106"/>
      <c r="J41" s="106"/>
      <c r="K41" s="106"/>
      <c r="R41" s="103"/>
    </row>
    <row r="42" spans="1:18" s="62" customFormat="1" x14ac:dyDescent="0.2">
      <c r="J42" s="63"/>
      <c r="R42" s="63"/>
    </row>
    <row r="43" spans="1:18" s="62" customFormat="1" x14ac:dyDescent="0.2">
      <c r="J43" s="63"/>
      <c r="R43" s="63"/>
    </row>
    <row r="44" spans="1:18" s="62" customFormat="1" x14ac:dyDescent="0.2">
      <c r="G44" s="107"/>
      <c r="J44" s="63"/>
      <c r="K44" s="107"/>
      <c r="R44" s="63"/>
    </row>
    <row r="45" spans="1:18" s="62" customFormat="1" x14ac:dyDescent="0.2">
      <c r="J45" s="63"/>
      <c r="R45" s="63"/>
    </row>
    <row r="46" spans="1:18" s="62" customFormat="1" x14ac:dyDescent="0.2"/>
    <row r="47" spans="1:18" s="62" customFormat="1" x14ac:dyDescent="0.2">
      <c r="G47" s="108"/>
      <c r="H47" s="107"/>
      <c r="I47" s="108"/>
      <c r="J47" s="108"/>
    </row>
    <row r="48" spans="1:18" s="62" customFormat="1" x14ac:dyDescent="0.2"/>
    <row r="49" s="62" customFormat="1" x14ac:dyDescent="0.2"/>
    <row r="51" s="62" customFormat="1" x14ac:dyDescent="0.2"/>
  </sheetData>
  <mergeCells count="6">
    <mergeCell ref="A2:A8"/>
    <mergeCell ref="B2:B8"/>
    <mergeCell ref="Q14:U14"/>
    <mergeCell ref="A32:G32"/>
    <mergeCell ref="O15:O16"/>
    <mergeCell ref="P15:P16"/>
  </mergeCells>
  <dataValidations count="1">
    <dataValidation type="list" allowBlank="1" showInputMessage="1" showErrorMessage="1" sqref="E2:E8" xr:uid="{6BFC6AB2-BF1B-4FA6-8864-8E05184E96A7}">
      <formula1>Answer</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BDB93-4026-4A81-8C74-84B0D30890F6}">
  <dimension ref="B2:H65"/>
  <sheetViews>
    <sheetView topLeftCell="A24" workbookViewId="0">
      <selection activeCell="D43" sqref="D43"/>
    </sheetView>
  </sheetViews>
  <sheetFormatPr baseColWidth="10" defaultColWidth="8.83203125" defaultRowHeight="15" x14ac:dyDescent="0.2"/>
  <cols>
    <col min="2" max="2" width="26.33203125" customWidth="1"/>
    <col min="3" max="3" width="26.5" customWidth="1"/>
    <col min="4" max="4" width="18.6640625" customWidth="1"/>
    <col min="5" max="5" width="13.5" customWidth="1"/>
    <col min="6" max="6" width="33.5" customWidth="1"/>
    <col min="7" max="7" width="24.5" customWidth="1"/>
    <col min="8" max="8" width="18.33203125" customWidth="1"/>
  </cols>
  <sheetData>
    <row r="2" spans="2:4" ht="32" x14ac:dyDescent="0.2">
      <c r="B2" s="548" t="s">
        <v>48</v>
      </c>
      <c r="C2" s="525" t="s">
        <v>49</v>
      </c>
      <c r="D2" s="526"/>
    </row>
    <row r="3" spans="2:4" x14ac:dyDescent="0.2">
      <c r="B3" s="526"/>
      <c r="C3" s="526"/>
      <c r="D3" s="526"/>
    </row>
    <row r="4" spans="2:4" ht="16" x14ac:dyDescent="0.2">
      <c r="B4" s="714" t="s">
        <v>13</v>
      </c>
      <c r="C4" s="545" t="s">
        <v>50</v>
      </c>
      <c r="D4" s="528">
        <f>'Risk Scoring Workpaper'!D4</f>
        <v>6.2</v>
      </c>
    </row>
    <row r="5" spans="2:4" ht="15" customHeight="1" x14ac:dyDescent="0.2">
      <c r="B5" s="715"/>
      <c r="C5" s="546" t="s">
        <v>51</v>
      </c>
      <c r="D5" s="543">
        <f>'Risk Scoring Workpaper'!D5</f>
        <v>569.91011575644086</v>
      </c>
    </row>
    <row r="6" spans="2:4" ht="15" customHeight="1" x14ac:dyDescent="0.2">
      <c r="B6" s="715"/>
      <c r="C6" s="546" t="s">
        <v>52</v>
      </c>
      <c r="D6" s="543">
        <f>'Risk Scoring Workpaper'!D6</f>
        <v>89.032258064516128</v>
      </c>
    </row>
    <row r="7" spans="2:4" ht="15" customHeight="1" x14ac:dyDescent="0.2">
      <c r="B7" s="715"/>
      <c r="C7" s="546" t="s">
        <v>53</v>
      </c>
      <c r="D7" s="553">
        <f>'Risk Scoring Workpaper'!D7</f>
        <v>903.22669515966732</v>
      </c>
    </row>
    <row r="8" spans="2:4" ht="15" customHeight="1" x14ac:dyDescent="0.2">
      <c r="B8" s="715"/>
      <c r="C8" s="546" t="s">
        <v>54</v>
      </c>
      <c r="D8" s="543">
        <f>'Risk Scoring Workpaper'!D8</f>
        <v>1562.1690689806242</v>
      </c>
    </row>
    <row r="9" spans="2:4" ht="15" customHeight="1" x14ac:dyDescent="0.2">
      <c r="B9" s="716"/>
      <c r="C9" s="547" t="s">
        <v>55</v>
      </c>
      <c r="D9" s="550">
        <f>'Risk Scoring Workpaper'!D9</f>
        <v>9685.4482276798699</v>
      </c>
    </row>
    <row r="10" spans="2:4" x14ac:dyDescent="0.2">
      <c r="B10" s="526"/>
      <c r="C10" s="526"/>
      <c r="D10" s="534"/>
    </row>
    <row r="11" spans="2:4" ht="16" x14ac:dyDescent="0.2">
      <c r="B11" s="714" t="s">
        <v>14</v>
      </c>
      <c r="C11" s="545" t="s">
        <v>50</v>
      </c>
      <c r="D11" s="528">
        <v>5.8</v>
      </c>
    </row>
    <row r="12" spans="2:4" ht="15" customHeight="1" x14ac:dyDescent="0.2">
      <c r="B12" s="715"/>
      <c r="C12" s="546" t="s">
        <v>51</v>
      </c>
      <c r="D12" s="543">
        <f>'Risk Scoring Workpaper'!D12</f>
        <v>348.02866591505182</v>
      </c>
    </row>
    <row r="13" spans="2:4" ht="15" customHeight="1" x14ac:dyDescent="0.2">
      <c r="B13" s="715"/>
      <c r="C13" s="546" t="s">
        <v>52</v>
      </c>
      <c r="D13" s="543">
        <f>'Risk Scoring Workpaper'!D13</f>
        <v>55.517241379310356</v>
      </c>
    </row>
    <row r="14" spans="2:4" ht="15" customHeight="1" x14ac:dyDescent="0.2">
      <c r="B14" s="715"/>
      <c r="C14" s="546" t="s">
        <v>53</v>
      </c>
      <c r="D14" s="553">
        <f>'Risk Scoring Workpaper'!D14</f>
        <v>551.57606970714232</v>
      </c>
    </row>
    <row r="15" spans="2:4" ht="15" customHeight="1" x14ac:dyDescent="0.2">
      <c r="B15" s="715"/>
      <c r="C15" s="546" t="s">
        <v>54</v>
      </c>
      <c r="D15" s="543">
        <f>'Risk Scoring Workpaper'!D15</f>
        <v>955.12197700150455</v>
      </c>
    </row>
    <row r="16" spans="2:4" ht="15" customHeight="1" x14ac:dyDescent="0.2">
      <c r="B16" s="716"/>
      <c r="C16" s="547" t="s">
        <v>55</v>
      </c>
      <c r="D16" s="550">
        <f>'Risk Scoring Workpaper'!D16</f>
        <v>5539.7074666087265</v>
      </c>
    </row>
    <row r="17" spans="2:8" x14ac:dyDescent="0.2">
      <c r="B17" s="526"/>
      <c r="C17" s="526"/>
      <c r="D17" s="534"/>
    </row>
    <row r="18" spans="2:8" ht="16" x14ac:dyDescent="0.2">
      <c r="B18" s="714" t="s">
        <v>56</v>
      </c>
      <c r="C18" s="545" t="s">
        <v>50</v>
      </c>
      <c r="D18" s="528">
        <f>'Risk Scoring Workpaper'!D18</f>
        <v>7.2</v>
      </c>
    </row>
    <row r="19" spans="2:8" ht="15" customHeight="1" x14ac:dyDescent="0.2">
      <c r="B19" s="715"/>
      <c r="C19" s="546" t="s">
        <v>51</v>
      </c>
      <c r="D19" s="544">
        <f>'Risk Scoring Workpaper'!D19</f>
        <v>12.22097500038122</v>
      </c>
    </row>
    <row r="20" spans="2:8" ht="15" customHeight="1" x14ac:dyDescent="0.2">
      <c r="B20" s="715"/>
      <c r="C20" s="546" t="s">
        <v>52</v>
      </c>
      <c r="D20" s="544">
        <f>'Risk Scoring Workpaper'!D20</f>
        <v>2.875</v>
      </c>
    </row>
    <row r="21" spans="2:8" ht="15" customHeight="1" x14ac:dyDescent="0.2">
      <c r="B21" s="715"/>
      <c r="C21" s="546" t="s">
        <v>53</v>
      </c>
      <c r="D21" s="549">
        <f>'Risk Scoring Workpaper'!D21</f>
        <v>19.368511903972969</v>
      </c>
    </row>
    <row r="22" spans="2:8" ht="15" customHeight="1" x14ac:dyDescent="0.2">
      <c r="B22" s="715"/>
      <c r="C22" s="546" t="s">
        <v>54</v>
      </c>
      <c r="D22" s="544">
        <f>'Risk Scoring Workpaper'!D22</f>
        <v>34.464486904354189</v>
      </c>
    </row>
    <row r="23" spans="2:8" ht="15" customHeight="1" x14ac:dyDescent="0.2">
      <c r="B23" s="716"/>
      <c r="C23" s="547" t="s">
        <v>55</v>
      </c>
      <c r="D23" s="550">
        <f>'Risk Scoring Workpaper'!D23</f>
        <v>248.14430571135017</v>
      </c>
    </row>
    <row r="24" spans="2:8" x14ac:dyDescent="0.2">
      <c r="B24" s="526"/>
      <c r="C24" s="526"/>
      <c r="D24" s="526"/>
    </row>
    <row r="25" spans="2:8" ht="16" x14ac:dyDescent="0.2">
      <c r="B25" s="714" t="s">
        <v>57</v>
      </c>
      <c r="C25" s="545" t="s">
        <v>50</v>
      </c>
      <c r="D25" s="528">
        <f>'Risk Scoring Workpaper'!D25</f>
        <v>19.2</v>
      </c>
    </row>
    <row r="26" spans="2:8" ht="15" customHeight="1" x14ac:dyDescent="0.2">
      <c r="B26" s="715"/>
      <c r="C26" s="546" t="s">
        <v>51</v>
      </c>
      <c r="D26" s="544">
        <f>'Risk Scoring Workpaper'!D26</f>
        <v>293.74999999999886</v>
      </c>
    </row>
    <row r="27" spans="2:8" ht="15" customHeight="1" x14ac:dyDescent="0.2">
      <c r="B27" s="715"/>
      <c r="C27" s="546" t="s">
        <v>52</v>
      </c>
      <c r="D27" s="544">
        <f>'Risk Scoring Workpaper'!D27</f>
        <v>46.598958333333336</v>
      </c>
    </row>
    <row r="28" spans="2:8" ht="15" customHeight="1" x14ac:dyDescent="0.2">
      <c r="B28" s="715"/>
      <c r="C28" s="546" t="s">
        <v>53</v>
      </c>
      <c r="D28" s="549">
        <f>'Risk Scoring Workpaper'!D28</f>
        <v>465.55208333333167</v>
      </c>
    </row>
    <row r="29" spans="2:8" ht="15" customHeight="1" x14ac:dyDescent="0.2">
      <c r="B29" s="715"/>
      <c r="C29" s="546" t="s">
        <v>54</v>
      </c>
      <c r="D29" s="544">
        <f>'Risk Scoring Workpaper'!D29</f>
        <v>805.90104166666379</v>
      </c>
    </row>
    <row r="30" spans="2:8" ht="15.75" customHeight="1" x14ac:dyDescent="0.2">
      <c r="B30" s="716"/>
      <c r="C30" s="547" t="s">
        <v>55</v>
      </c>
      <c r="D30" s="550">
        <f>'Risk Scoring Workpaper'!D30</f>
        <v>15473.299999999945</v>
      </c>
    </row>
    <row r="32" spans="2:8" ht="16" x14ac:dyDescent="0.2">
      <c r="B32" s="717" t="s">
        <v>58</v>
      </c>
      <c r="C32" s="545" t="s">
        <v>50</v>
      </c>
      <c r="D32" s="528">
        <f>+RiskSW_PSPS!D7</f>
        <v>3.2</v>
      </c>
      <c r="F32" s="717" t="s">
        <v>59</v>
      </c>
      <c r="G32" s="545" t="s">
        <v>50</v>
      </c>
      <c r="H32" s="528">
        <f>+RiskSW_PSPS!H7</f>
        <v>2.4</v>
      </c>
    </row>
    <row r="33" spans="2:8" ht="16" x14ac:dyDescent="0.2">
      <c r="B33" s="715"/>
      <c r="C33" s="546" t="s">
        <v>51</v>
      </c>
      <c r="D33" s="544" t="e">
        <f>+RiskSW_PSPS!D8</f>
        <v>#REF!</v>
      </c>
      <c r="F33" s="715"/>
      <c r="G33" s="546" t="s">
        <v>51</v>
      </c>
      <c r="H33" s="544" t="e">
        <f>+RiskSW_PSPS!H8</f>
        <v>#REF!</v>
      </c>
    </row>
    <row r="34" spans="2:8" ht="16" x14ac:dyDescent="0.2">
      <c r="B34" s="715"/>
      <c r="C34" s="546" t="s">
        <v>52</v>
      </c>
      <c r="D34" s="544" t="e">
        <f>+RiskSW_PSPS!D9</f>
        <v>#REF!</v>
      </c>
      <c r="F34" s="715"/>
      <c r="G34" s="546" t="s">
        <v>52</v>
      </c>
      <c r="H34" s="544" t="e">
        <f>+RiskSW_PSPS!H9</f>
        <v>#REF!</v>
      </c>
    </row>
    <row r="35" spans="2:8" ht="16" x14ac:dyDescent="0.2">
      <c r="B35" s="715"/>
      <c r="C35" s="546" t="s">
        <v>53</v>
      </c>
      <c r="D35" s="549" t="e">
        <f>+RiskSW_PSPS!D10</f>
        <v>#REF!</v>
      </c>
      <c r="F35" s="715"/>
      <c r="G35" s="546" t="s">
        <v>53</v>
      </c>
      <c r="H35" s="549" t="e">
        <f>+RiskSW_PSPS!H10</f>
        <v>#REF!</v>
      </c>
    </row>
    <row r="36" spans="2:8" ht="16" x14ac:dyDescent="0.2">
      <c r="B36" s="715"/>
      <c r="C36" s="546" t="s">
        <v>54</v>
      </c>
      <c r="D36" s="544" t="e">
        <f>+RiskSW_PSPS!D11</f>
        <v>#REF!</v>
      </c>
      <c r="F36" s="715"/>
      <c r="G36" s="546" t="s">
        <v>54</v>
      </c>
      <c r="H36" s="544" t="e">
        <f>+RiskSW_PSPS!H11</f>
        <v>#REF!</v>
      </c>
    </row>
    <row r="37" spans="2:8" ht="16" x14ac:dyDescent="0.2">
      <c r="B37" s="716"/>
      <c r="C37" s="547" t="s">
        <v>55</v>
      </c>
      <c r="D37" s="550" t="e">
        <f>+RiskSW_PSPS!D12</f>
        <v>#REF!</v>
      </c>
      <c r="F37" s="716"/>
      <c r="G37" s="547" t="s">
        <v>55</v>
      </c>
      <c r="H37" s="550" t="e">
        <f>+RiskSW_PSPS!H12</f>
        <v>#REF!</v>
      </c>
    </row>
    <row r="39" spans="2:8" ht="16" x14ac:dyDescent="0.2">
      <c r="B39" s="717" t="s">
        <v>60</v>
      </c>
      <c r="C39" s="545" t="s">
        <v>50</v>
      </c>
      <c r="D39" s="528">
        <f>+RiskSW_PSPS!D14</f>
        <v>0.63171587366137993</v>
      </c>
      <c r="F39" s="717" t="s">
        <v>61</v>
      </c>
      <c r="G39" s="545" t="s">
        <v>50</v>
      </c>
      <c r="H39" s="528">
        <f>+RiskSW_PSPS!H14</f>
        <v>0.12242354796808315</v>
      </c>
    </row>
    <row r="40" spans="2:8" ht="16" x14ac:dyDescent="0.2">
      <c r="B40" s="715"/>
      <c r="C40" s="546" t="s">
        <v>51</v>
      </c>
      <c r="D40" s="544">
        <f>+RiskSW_PSPS!D15</f>
        <v>8.5001142857142842</v>
      </c>
      <c r="F40" s="715"/>
      <c r="G40" s="546" t="s">
        <v>51</v>
      </c>
      <c r="H40" s="544">
        <f>+RiskSW_PSPS!H15</f>
        <v>31.466057142857132</v>
      </c>
    </row>
    <row r="41" spans="2:8" ht="16" x14ac:dyDescent="0.2">
      <c r="B41" s="715"/>
      <c r="C41" s="546" t="s">
        <v>52</v>
      </c>
      <c r="D41" s="544">
        <f>+RiskSW_PSPS!D16</f>
        <v>827.4927955270723</v>
      </c>
      <c r="F41" s="715"/>
      <c r="G41" s="546" t="s">
        <v>52</v>
      </c>
      <c r="H41" s="544">
        <f>+RiskSW_PSPS!H16</f>
        <v>3431.9693311602173</v>
      </c>
    </row>
    <row r="42" spans="2:8" ht="16" x14ac:dyDescent="0.2">
      <c r="B42" s="715"/>
      <c r="C42" s="546" t="s">
        <v>53</v>
      </c>
      <c r="D42" s="549">
        <f>+RiskSW_PSPS!D17</f>
        <v>40.139428571428567</v>
      </c>
      <c r="F42" s="715"/>
      <c r="G42" s="546" t="s">
        <v>53</v>
      </c>
      <c r="H42" s="549">
        <f>+RiskSW_PSPS!H17</f>
        <v>157.87657142857142</v>
      </c>
    </row>
    <row r="43" spans="2:8" ht="16" x14ac:dyDescent="0.2">
      <c r="B43" s="715"/>
      <c r="C43" s="546" t="s">
        <v>54</v>
      </c>
      <c r="D43" s="544">
        <f>+RiskSW_PSPS!D18</f>
        <v>216.27661789736192</v>
      </c>
      <c r="F43" s="715"/>
      <c r="G43" s="546" t="s">
        <v>54</v>
      </c>
      <c r="H43" s="544">
        <f>+RiskSW_PSPS!H18</f>
        <v>890.17605704700486</v>
      </c>
    </row>
    <row r="44" spans="2:8" ht="16" x14ac:dyDescent="0.2">
      <c r="B44" s="716"/>
      <c r="C44" s="547" t="s">
        <v>55</v>
      </c>
      <c r="D44" s="550">
        <f>+RiskSW_PSPS!D19</f>
        <v>136.62537262756041</v>
      </c>
      <c r="F44" s="716"/>
      <c r="G44" s="547" t="s">
        <v>55</v>
      </c>
      <c r="H44" s="550">
        <f>+RiskSW_PSPS!H19</f>
        <v>108.97851121993313</v>
      </c>
    </row>
    <row r="46" spans="2:8" ht="16" x14ac:dyDescent="0.2">
      <c r="B46" s="717" t="s">
        <v>62</v>
      </c>
      <c r="C46" s="545" t="s">
        <v>50</v>
      </c>
      <c r="D46" s="528">
        <f>+RiskSW_PSPS!D21</f>
        <v>0.63171587366137993</v>
      </c>
      <c r="F46" s="717" t="s">
        <v>63</v>
      </c>
      <c r="G46" s="545" t="s">
        <v>50</v>
      </c>
      <c r="H46" s="528">
        <f>+RiskSW_PSPS!H21</f>
        <v>0.12242354796808315</v>
      </c>
    </row>
    <row r="47" spans="2:8" ht="16" x14ac:dyDescent="0.2">
      <c r="B47" s="715"/>
      <c r="C47" s="546" t="s">
        <v>51</v>
      </c>
      <c r="D47" s="544" t="e">
        <f>+RiskSW_PSPS!D22</f>
        <v>#REF!</v>
      </c>
      <c r="F47" s="715"/>
      <c r="G47" s="546" t="s">
        <v>51</v>
      </c>
      <c r="H47" s="544" t="e">
        <f>+RiskSW_PSPS!H22</f>
        <v>#REF!</v>
      </c>
    </row>
    <row r="48" spans="2:8" ht="16" x14ac:dyDescent="0.2">
      <c r="B48" s="715"/>
      <c r="C48" s="546" t="s">
        <v>52</v>
      </c>
      <c r="D48" s="544" t="e">
        <f>+RiskSW_PSPS!D23</f>
        <v>#REF!</v>
      </c>
      <c r="F48" s="715"/>
      <c r="G48" s="546" t="s">
        <v>52</v>
      </c>
      <c r="H48" s="544" t="e">
        <f>+RiskSW_PSPS!H23</f>
        <v>#REF!</v>
      </c>
    </row>
    <row r="49" spans="2:8" ht="16" x14ac:dyDescent="0.2">
      <c r="B49" s="715"/>
      <c r="C49" s="546" t="s">
        <v>53</v>
      </c>
      <c r="D49" s="549" t="e">
        <f>+RiskSW_PSPS!D24</f>
        <v>#REF!</v>
      </c>
      <c r="F49" s="715"/>
      <c r="G49" s="546" t="s">
        <v>53</v>
      </c>
      <c r="H49" s="549" t="e">
        <f>+RiskSW_PSPS!H24</f>
        <v>#REF!</v>
      </c>
    </row>
    <row r="50" spans="2:8" ht="16" x14ac:dyDescent="0.2">
      <c r="B50" s="715"/>
      <c r="C50" s="546" t="s">
        <v>54</v>
      </c>
      <c r="D50" s="544" t="e">
        <f>+RiskSW_PSPS!D25</f>
        <v>#REF!</v>
      </c>
      <c r="F50" s="715"/>
      <c r="G50" s="546" t="s">
        <v>54</v>
      </c>
      <c r="H50" s="544" t="e">
        <f>+RiskSW_PSPS!H25</f>
        <v>#REF!</v>
      </c>
    </row>
    <row r="51" spans="2:8" ht="16" x14ac:dyDescent="0.2">
      <c r="B51" s="716"/>
      <c r="C51" s="547" t="s">
        <v>55</v>
      </c>
      <c r="D51" s="550" t="e">
        <f>+RiskSW_PSPS!D26</f>
        <v>#REF!</v>
      </c>
      <c r="F51" s="716"/>
      <c r="G51" s="547" t="s">
        <v>55</v>
      </c>
      <c r="H51" s="550" t="e">
        <f>+RiskSW_PSPS!H26</f>
        <v>#REF!</v>
      </c>
    </row>
    <row r="53" spans="2:8" ht="16" x14ac:dyDescent="0.2">
      <c r="B53" s="717" t="s">
        <v>64</v>
      </c>
      <c r="C53" s="545" t="s">
        <v>50</v>
      </c>
      <c r="D53" s="528">
        <f>+RiskSW_PSPS!D28</f>
        <v>3.2</v>
      </c>
      <c r="F53" s="717" t="s">
        <v>65</v>
      </c>
      <c r="G53" s="545" t="s">
        <v>50</v>
      </c>
      <c r="H53" s="528">
        <f>+RiskSW_PSPS!H28</f>
        <v>2.4</v>
      </c>
    </row>
    <row r="54" spans="2:8" ht="16" x14ac:dyDescent="0.2">
      <c r="B54" s="715"/>
      <c r="C54" s="546" t="s">
        <v>51</v>
      </c>
      <c r="D54" s="544" t="e">
        <f>+RiskSW_PSPS!D29</f>
        <v>#REF!</v>
      </c>
      <c r="F54" s="715"/>
      <c r="G54" s="546" t="s">
        <v>51</v>
      </c>
      <c r="H54" s="544" t="e">
        <f>+RiskSW_PSPS!H29</f>
        <v>#REF!</v>
      </c>
    </row>
    <row r="55" spans="2:8" ht="16" x14ac:dyDescent="0.2">
      <c r="B55" s="715"/>
      <c r="C55" s="546" t="s">
        <v>52</v>
      </c>
      <c r="D55" s="544" t="e">
        <f>+RiskSW_PSPS!D30</f>
        <v>#REF!</v>
      </c>
      <c r="F55" s="715"/>
      <c r="G55" s="546" t="s">
        <v>52</v>
      </c>
      <c r="H55" s="544" t="e">
        <f>+RiskSW_PSPS!H30</f>
        <v>#REF!</v>
      </c>
    </row>
    <row r="56" spans="2:8" ht="16" x14ac:dyDescent="0.2">
      <c r="B56" s="715"/>
      <c r="C56" s="546" t="s">
        <v>53</v>
      </c>
      <c r="D56" s="549" t="e">
        <f>+RiskSW_PSPS!D31</f>
        <v>#REF!</v>
      </c>
      <c r="F56" s="715"/>
      <c r="G56" s="546" t="s">
        <v>53</v>
      </c>
      <c r="H56" s="549" t="e">
        <f>+RiskSW_PSPS!H31</f>
        <v>#REF!</v>
      </c>
    </row>
    <row r="57" spans="2:8" ht="16" x14ac:dyDescent="0.2">
      <c r="B57" s="715"/>
      <c r="C57" s="546" t="s">
        <v>54</v>
      </c>
      <c r="D57" s="544" t="e">
        <f>+RiskSW_PSPS!D32</f>
        <v>#REF!</v>
      </c>
      <c r="F57" s="715"/>
      <c r="G57" s="546" t="s">
        <v>54</v>
      </c>
      <c r="H57" s="544" t="e">
        <f>+RiskSW_PSPS!H32</f>
        <v>#REF!</v>
      </c>
    </row>
    <row r="58" spans="2:8" ht="16" x14ac:dyDescent="0.2">
      <c r="B58" s="716"/>
      <c r="C58" s="547" t="s">
        <v>55</v>
      </c>
      <c r="D58" s="550" t="e">
        <f>+RiskSW_PSPS!D33</f>
        <v>#REF!</v>
      </c>
      <c r="F58" s="716"/>
      <c r="G58" s="547" t="s">
        <v>55</v>
      </c>
      <c r="H58" s="550" t="e">
        <f>+RiskSW_PSPS!H33</f>
        <v>#REF!</v>
      </c>
    </row>
    <row r="60" spans="2:8" ht="16" x14ac:dyDescent="0.2">
      <c r="B60" s="717" t="s">
        <v>66</v>
      </c>
      <c r="C60" s="545" t="s">
        <v>50</v>
      </c>
      <c r="D60" s="528">
        <f>+RiskSW_PSPS!D35</f>
        <v>3.2</v>
      </c>
      <c r="F60" s="717" t="s">
        <v>67</v>
      </c>
      <c r="G60" s="545" t="s">
        <v>50</v>
      </c>
      <c r="H60" s="528">
        <f>+RiskSW_PSPS!H35</f>
        <v>2.4</v>
      </c>
    </row>
    <row r="61" spans="2:8" ht="16" x14ac:dyDescent="0.2">
      <c r="B61" s="715"/>
      <c r="C61" s="546" t="s">
        <v>51</v>
      </c>
      <c r="D61" s="544" t="e">
        <f>+RiskSW_PSPS!D36</f>
        <v>#REF!</v>
      </c>
      <c r="F61" s="715"/>
      <c r="G61" s="546" t="s">
        <v>51</v>
      </c>
      <c r="H61" s="544" t="e">
        <f>+RiskSW_PSPS!H36</f>
        <v>#REF!</v>
      </c>
    </row>
    <row r="62" spans="2:8" ht="16" x14ac:dyDescent="0.2">
      <c r="B62" s="715"/>
      <c r="C62" s="546" t="s">
        <v>52</v>
      </c>
      <c r="D62" s="544" t="e">
        <f>+RiskSW_PSPS!D37</f>
        <v>#REF!</v>
      </c>
      <c r="F62" s="715"/>
      <c r="G62" s="546" t="s">
        <v>52</v>
      </c>
      <c r="H62" s="544" t="e">
        <f>+RiskSW_PSPS!H37</f>
        <v>#REF!</v>
      </c>
    </row>
    <row r="63" spans="2:8" ht="16" x14ac:dyDescent="0.2">
      <c r="B63" s="715"/>
      <c r="C63" s="546" t="s">
        <v>53</v>
      </c>
      <c r="D63" s="549" t="e">
        <f>+RiskSW_PSPS!D38</f>
        <v>#REF!</v>
      </c>
      <c r="F63" s="715"/>
      <c r="G63" s="546" t="s">
        <v>53</v>
      </c>
      <c r="H63" s="549" t="e">
        <f>+RiskSW_PSPS!H38</f>
        <v>#REF!</v>
      </c>
    </row>
    <row r="64" spans="2:8" ht="16" x14ac:dyDescent="0.2">
      <c r="B64" s="715"/>
      <c r="C64" s="546" t="s">
        <v>54</v>
      </c>
      <c r="D64" s="544" t="e">
        <f>+RiskSW_PSPS!D39</f>
        <v>#REF!</v>
      </c>
      <c r="F64" s="715"/>
      <c r="G64" s="546" t="s">
        <v>54</v>
      </c>
      <c r="H64" s="544" t="e">
        <f>+RiskSW_PSPS!H39</f>
        <v>#REF!</v>
      </c>
    </row>
    <row r="65" spans="2:8" ht="16" x14ac:dyDescent="0.2">
      <c r="B65" s="716"/>
      <c r="C65" s="547" t="s">
        <v>55</v>
      </c>
      <c r="D65" s="550" t="e">
        <f>+RiskSW_PSPS!D40</f>
        <v>#REF!</v>
      </c>
      <c r="F65" s="716"/>
      <c r="G65" s="547" t="s">
        <v>55</v>
      </c>
      <c r="H65" s="550" t="e">
        <f>+RiskSW_PSPS!H40</f>
        <v>#REF!</v>
      </c>
    </row>
  </sheetData>
  <mergeCells count="14">
    <mergeCell ref="B46:B51"/>
    <mergeCell ref="B53:B58"/>
    <mergeCell ref="B60:B65"/>
    <mergeCell ref="F32:F37"/>
    <mergeCell ref="F39:F44"/>
    <mergeCell ref="F46:F51"/>
    <mergeCell ref="F53:F58"/>
    <mergeCell ref="F60:F65"/>
    <mergeCell ref="B39:B44"/>
    <mergeCell ref="B4:B9"/>
    <mergeCell ref="B11:B16"/>
    <mergeCell ref="B18:B23"/>
    <mergeCell ref="B25:B30"/>
    <mergeCell ref="B32: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D5AA-61BA-4E90-B821-0019DBF9F4D8}">
  <dimension ref="A2:O167"/>
  <sheetViews>
    <sheetView topLeftCell="A3" workbookViewId="0">
      <selection activeCell="E48" sqref="E48"/>
    </sheetView>
  </sheetViews>
  <sheetFormatPr baseColWidth="10" defaultColWidth="8.6640625" defaultRowHeight="15" x14ac:dyDescent="0.2"/>
  <cols>
    <col min="1" max="1" width="4.5" style="153" customWidth="1"/>
    <col min="2" max="2" width="31.5" style="153" customWidth="1"/>
    <col min="3" max="3" width="36" style="153" customWidth="1"/>
    <col min="4" max="4" width="47.6640625" style="153" customWidth="1"/>
    <col min="5" max="5" width="19.5" style="153" customWidth="1"/>
    <col min="6" max="6" width="47.83203125" style="153" customWidth="1"/>
    <col min="7" max="7" width="31.1640625" style="153" customWidth="1"/>
    <col min="8" max="8" width="32.33203125" style="153" customWidth="1"/>
    <col min="9" max="16384" width="8.6640625" style="153"/>
  </cols>
  <sheetData>
    <row r="2" spans="1:9" ht="16" x14ac:dyDescent="0.2">
      <c r="A2"/>
      <c r="B2" s="524" t="s">
        <v>48</v>
      </c>
      <c r="C2" s="525" t="s">
        <v>49</v>
      </c>
      <c r="D2" s="526"/>
    </row>
    <row r="3" spans="1:9" x14ac:dyDescent="0.2">
      <c r="A3"/>
      <c r="B3" s="283"/>
      <c r="C3" s="283"/>
      <c r="D3" s="526"/>
    </row>
    <row r="4" spans="1:9" x14ac:dyDescent="0.2">
      <c r="A4"/>
    </row>
    <row r="5" spans="1:9" x14ac:dyDescent="0.2">
      <c r="A5"/>
    </row>
    <row r="6" spans="1:9" x14ac:dyDescent="0.2">
      <c r="A6"/>
      <c r="B6"/>
      <c r="C6"/>
      <c r="D6"/>
      <c r="E6"/>
      <c r="F6"/>
      <c r="G6"/>
      <c r="H6"/>
      <c r="I6"/>
    </row>
    <row r="7" spans="1:9" ht="16" x14ac:dyDescent="0.2">
      <c r="A7"/>
      <c r="B7" s="717" t="s">
        <v>58</v>
      </c>
      <c r="C7" s="545" t="s">
        <v>50</v>
      </c>
      <c r="D7" s="528">
        <f>+E58</f>
        <v>3.2</v>
      </c>
      <c r="E7"/>
      <c r="F7" s="717" t="s">
        <v>59</v>
      </c>
      <c r="G7" s="545" t="s">
        <v>50</v>
      </c>
      <c r="H7" s="528">
        <f>+E59</f>
        <v>2.4</v>
      </c>
    </row>
    <row r="8" spans="1:9" ht="16" x14ac:dyDescent="0.2">
      <c r="A8"/>
      <c r="B8" s="715"/>
      <c r="C8" s="546" t="s">
        <v>51</v>
      </c>
      <c r="D8" s="544" t="e">
        <f>#REF!</f>
        <v>#REF!</v>
      </c>
      <c r="E8"/>
      <c r="F8" s="715"/>
      <c r="G8" s="546" t="s">
        <v>51</v>
      </c>
      <c r="H8" s="544" t="e">
        <f>#REF!</f>
        <v>#REF!</v>
      </c>
    </row>
    <row r="9" spans="1:9" ht="16" x14ac:dyDescent="0.2">
      <c r="A9"/>
      <c r="B9" s="715"/>
      <c r="C9" s="546" t="s">
        <v>52</v>
      </c>
      <c r="D9" s="544" t="e">
        <f>#REF!</f>
        <v>#REF!</v>
      </c>
      <c r="E9"/>
      <c r="F9" s="715"/>
      <c r="G9" s="546" t="s">
        <v>52</v>
      </c>
      <c r="H9" s="544" t="e">
        <f>#REF!</f>
        <v>#REF!</v>
      </c>
    </row>
    <row r="10" spans="1:9" ht="16" x14ac:dyDescent="0.2">
      <c r="A10"/>
      <c r="B10" s="715"/>
      <c r="C10" s="546" t="s">
        <v>53</v>
      </c>
      <c r="D10" s="549" t="e">
        <f>#REF!</f>
        <v>#REF!</v>
      </c>
      <c r="E10"/>
      <c r="F10" s="715"/>
      <c r="G10" s="546" t="s">
        <v>53</v>
      </c>
      <c r="H10" s="549" t="e">
        <f>#REF!</f>
        <v>#REF!</v>
      </c>
    </row>
    <row r="11" spans="1:9" ht="16" x14ac:dyDescent="0.2">
      <c r="A11"/>
      <c r="B11" s="715"/>
      <c r="C11" s="546" t="s">
        <v>54</v>
      </c>
      <c r="D11" s="544" t="e">
        <f>#REF!</f>
        <v>#REF!</v>
      </c>
      <c r="E11"/>
      <c r="F11" s="715"/>
      <c r="G11" s="546" t="s">
        <v>54</v>
      </c>
      <c r="H11" s="544" t="e">
        <f>#REF!</f>
        <v>#REF!</v>
      </c>
    </row>
    <row r="12" spans="1:9" ht="16" x14ac:dyDescent="0.2">
      <c r="A12"/>
      <c r="B12" s="716"/>
      <c r="C12" s="547" t="s">
        <v>55</v>
      </c>
      <c r="D12" s="550" t="e">
        <f>D7*D11</f>
        <v>#REF!</v>
      </c>
      <c r="E12"/>
      <c r="F12" s="716"/>
      <c r="G12" s="547" t="s">
        <v>55</v>
      </c>
      <c r="H12" s="550" t="e">
        <f>H7*H11</f>
        <v>#REF!</v>
      </c>
    </row>
    <row r="13" spans="1:9" x14ac:dyDescent="0.2">
      <c r="A13"/>
      <c r="B13"/>
      <c r="C13"/>
      <c r="D13"/>
      <c r="E13"/>
      <c r="F13"/>
      <c r="G13"/>
      <c r="H13"/>
    </row>
    <row r="14" spans="1:9" ht="16" x14ac:dyDescent="0.2">
      <c r="A14"/>
      <c r="B14" s="717" t="s">
        <v>60</v>
      </c>
      <c r="C14" s="545" t="s">
        <v>50</v>
      </c>
      <c r="D14" s="528">
        <f>+E63</f>
        <v>0.63171587366137993</v>
      </c>
      <c r="E14"/>
      <c r="F14" s="717" t="s">
        <v>61</v>
      </c>
      <c r="G14" s="545" t="s">
        <v>50</v>
      </c>
      <c r="H14" s="528">
        <f>+E64</f>
        <v>0.12242354796808315</v>
      </c>
    </row>
    <row r="15" spans="1:9" ht="16" x14ac:dyDescent="0.2">
      <c r="A15"/>
      <c r="B15" s="715"/>
      <c r="C15" s="546" t="s">
        <v>51</v>
      </c>
      <c r="D15" s="544">
        <f>GeneratorGrantProgram!O29</f>
        <v>8.5001142857142842</v>
      </c>
      <c r="E15"/>
      <c r="F15" s="715"/>
      <c r="G15" s="546" t="s">
        <v>51</v>
      </c>
      <c r="H15" s="544">
        <f>GeneratorGrantProgram!O30</f>
        <v>31.466057142857132</v>
      </c>
    </row>
    <row r="16" spans="1:9" ht="16" x14ac:dyDescent="0.2">
      <c r="A16"/>
      <c r="B16" s="715"/>
      <c r="C16" s="546" t="s">
        <v>52</v>
      </c>
      <c r="D16" s="544">
        <f>GeneratorGrantProgram!P29</f>
        <v>827.4927955270723</v>
      </c>
      <c r="E16"/>
      <c r="F16" s="715"/>
      <c r="G16" s="546" t="s">
        <v>52</v>
      </c>
      <c r="H16" s="544">
        <f>GeneratorGrantProgram!P30</f>
        <v>3431.9693311602173</v>
      </c>
    </row>
    <row r="17" spans="1:8" ht="16" x14ac:dyDescent="0.2">
      <c r="A17"/>
      <c r="B17" s="715"/>
      <c r="C17" s="546" t="s">
        <v>53</v>
      </c>
      <c r="D17" s="549">
        <f>GeneratorGrantProgram!Q29</f>
        <v>40.139428571428567</v>
      </c>
      <c r="E17"/>
      <c r="F17" s="715"/>
      <c r="G17" s="546" t="s">
        <v>53</v>
      </c>
      <c r="H17" s="549">
        <f>GeneratorGrantProgram!Q30</f>
        <v>157.87657142857142</v>
      </c>
    </row>
    <row r="18" spans="1:8" ht="16" x14ac:dyDescent="0.2">
      <c r="A18"/>
      <c r="B18" s="715"/>
      <c r="C18" s="546" t="s">
        <v>54</v>
      </c>
      <c r="D18" s="544">
        <f>GeneratorGrantProgram!R29</f>
        <v>216.27661789736192</v>
      </c>
      <c r="E18"/>
      <c r="F18" s="715"/>
      <c r="G18" s="546" t="s">
        <v>54</v>
      </c>
      <c r="H18" s="544">
        <f>GeneratorGrantProgram!R30</f>
        <v>890.17605704700486</v>
      </c>
    </row>
    <row r="19" spans="1:8" ht="16" x14ac:dyDescent="0.2">
      <c r="A19"/>
      <c r="B19" s="716"/>
      <c r="C19" s="547" t="s">
        <v>55</v>
      </c>
      <c r="D19" s="550">
        <f>D14*D18</f>
        <v>136.62537262756041</v>
      </c>
      <c r="E19"/>
      <c r="F19" s="716"/>
      <c r="G19" s="547" t="s">
        <v>55</v>
      </c>
      <c r="H19" s="550">
        <f>H14*H18</f>
        <v>108.97851121993313</v>
      </c>
    </row>
    <row r="20" spans="1:8" x14ac:dyDescent="0.2">
      <c r="A20"/>
      <c r="B20"/>
      <c r="C20"/>
      <c r="D20"/>
      <c r="E20"/>
      <c r="F20"/>
      <c r="G20"/>
      <c r="H20"/>
    </row>
    <row r="21" spans="1:8" ht="16" x14ac:dyDescent="0.2">
      <c r="A21"/>
      <c r="B21" s="717" t="s">
        <v>62</v>
      </c>
      <c r="C21" s="545" t="s">
        <v>50</v>
      </c>
      <c r="D21" s="528">
        <f>+E68</f>
        <v>0.63171587366137993</v>
      </c>
      <c r="E21"/>
      <c r="F21" s="717" t="s">
        <v>63</v>
      </c>
      <c r="G21" s="545" t="s">
        <v>50</v>
      </c>
      <c r="H21" s="528">
        <f>+E69</f>
        <v>0.12242354796808315</v>
      </c>
    </row>
    <row r="22" spans="1:8" ht="16" x14ac:dyDescent="0.2">
      <c r="A22"/>
      <c r="B22" s="715"/>
      <c r="C22" s="546" t="s">
        <v>51</v>
      </c>
      <c r="D22" s="544" t="e">
        <f>#REF!</f>
        <v>#REF!</v>
      </c>
      <c r="E22"/>
      <c r="F22" s="715"/>
      <c r="G22" s="546" t="s">
        <v>51</v>
      </c>
      <c r="H22" s="544" t="e">
        <f>#REF!</f>
        <v>#REF!</v>
      </c>
    </row>
    <row r="23" spans="1:8" ht="16" x14ac:dyDescent="0.2">
      <c r="A23"/>
      <c r="B23" s="715"/>
      <c r="C23" s="546" t="s">
        <v>52</v>
      </c>
      <c r="D23" s="544" t="e">
        <f>#REF!</f>
        <v>#REF!</v>
      </c>
      <c r="E23"/>
      <c r="F23" s="715"/>
      <c r="G23" s="546" t="s">
        <v>52</v>
      </c>
      <c r="H23" s="544" t="e">
        <f>#REF!</f>
        <v>#REF!</v>
      </c>
    </row>
    <row r="24" spans="1:8" ht="16" x14ac:dyDescent="0.2">
      <c r="A24"/>
      <c r="B24" s="715"/>
      <c r="C24" s="546" t="s">
        <v>53</v>
      </c>
      <c r="D24" s="549" t="e">
        <f>#REF!</f>
        <v>#REF!</v>
      </c>
      <c r="E24"/>
      <c r="F24" s="715"/>
      <c r="G24" s="546" t="s">
        <v>53</v>
      </c>
      <c r="H24" s="544" t="e">
        <f>#REF!</f>
        <v>#REF!</v>
      </c>
    </row>
    <row r="25" spans="1:8" ht="16" x14ac:dyDescent="0.2">
      <c r="A25"/>
      <c r="B25" s="715"/>
      <c r="C25" s="546" t="s">
        <v>54</v>
      </c>
      <c r="D25" s="544" t="e">
        <f>#REF!</f>
        <v>#REF!</v>
      </c>
      <c r="E25"/>
      <c r="F25" s="715"/>
      <c r="G25" s="546" t="s">
        <v>54</v>
      </c>
      <c r="H25" s="544" t="e">
        <f>#REF!</f>
        <v>#REF!</v>
      </c>
    </row>
    <row r="26" spans="1:8" ht="16" x14ac:dyDescent="0.2">
      <c r="A26"/>
      <c r="B26" s="716"/>
      <c r="C26" s="547" t="s">
        <v>55</v>
      </c>
      <c r="D26" s="550" t="e">
        <f>D21*D25</f>
        <v>#REF!</v>
      </c>
      <c r="E26"/>
      <c r="F26" s="716"/>
      <c r="G26" s="547" t="s">
        <v>55</v>
      </c>
      <c r="H26" s="550" t="e">
        <f>H21*H25</f>
        <v>#REF!</v>
      </c>
    </row>
    <row r="27" spans="1:8" x14ac:dyDescent="0.2">
      <c r="A27"/>
      <c r="B27"/>
      <c r="C27"/>
      <c r="D27"/>
      <c r="E27"/>
      <c r="F27"/>
      <c r="G27"/>
      <c r="H27"/>
    </row>
    <row r="28" spans="1:8" ht="16" x14ac:dyDescent="0.2">
      <c r="A28"/>
      <c r="B28" s="717" t="s">
        <v>64</v>
      </c>
      <c r="C28" s="545" t="s">
        <v>50</v>
      </c>
      <c r="D28" s="528">
        <f>+E73</f>
        <v>3.2</v>
      </c>
      <c r="E28"/>
      <c r="F28" s="717" t="s">
        <v>65</v>
      </c>
      <c r="G28" s="545" t="s">
        <v>50</v>
      </c>
      <c r="H28" s="528">
        <f>+E74</f>
        <v>2.4</v>
      </c>
    </row>
    <row r="29" spans="1:8" ht="16" x14ac:dyDescent="0.2">
      <c r="A29"/>
      <c r="B29" s="715"/>
      <c r="C29" s="546" t="s">
        <v>51</v>
      </c>
      <c r="D29" s="544" t="e">
        <f>#REF!</f>
        <v>#REF!</v>
      </c>
      <c r="E29"/>
      <c r="F29" s="715"/>
      <c r="G29" s="546" t="s">
        <v>51</v>
      </c>
      <c r="H29" s="544" t="e">
        <f>#REF!</f>
        <v>#REF!</v>
      </c>
    </row>
    <row r="30" spans="1:8" ht="16" x14ac:dyDescent="0.2">
      <c r="A30"/>
      <c r="B30" s="715"/>
      <c r="C30" s="546" t="s">
        <v>52</v>
      </c>
      <c r="D30" s="544" t="e">
        <f>#REF!</f>
        <v>#REF!</v>
      </c>
      <c r="E30"/>
      <c r="F30" s="715"/>
      <c r="G30" s="546" t="s">
        <v>52</v>
      </c>
      <c r="H30" s="544" t="e">
        <f>#REF!</f>
        <v>#REF!</v>
      </c>
    </row>
    <row r="31" spans="1:8" ht="16" x14ac:dyDescent="0.2">
      <c r="A31"/>
      <c r="B31" s="715"/>
      <c r="C31" s="546" t="s">
        <v>53</v>
      </c>
      <c r="D31" s="544" t="e">
        <f>#REF!</f>
        <v>#REF!</v>
      </c>
      <c r="E31"/>
      <c r="F31" s="715"/>
      <c r="G31" s="546" t="s">
        <v>53</v>
      </c>
      <c r="H31" s="549" t="e">
        <f>#REF!</f>
        <v>#REF!</v>
      </c>
    </row>
    <row r="32" spans="1:8" ht="16" x14ac:dyDescent="0.2">
      <c r="A32"/>
      <c r="B32" s="715"/>
      <c r="C32" s="546" t="s">
        <v>54</v>
      </c>
      <c r="D32" s="544" t="e">
        <f>#REF!</f>
        <v>#REF!</v>
      </c>
      <c r="E32"/>
      <c r="F32" s="715"/>
      <c r="G32" s="546" t="s">
        <v>54</v>
      </c>
      <c r="H32" s="544" t="e">
        <f>#REF!</f>
        <v>#REF!</v>
      </c>
    </row>
    <row r="33" spans="1:15" ht="16" x14ac:dyDescent="0.2">
      <c r="A33"/>
      <c r="B33" s="716"/>
      <c r="C33" s="547" t="s">
        <v>55</v>
      </c>
      <c r="D33" s="550" t="e">
        <f>D28*D32</f>
        <v>#REF!</v>
      </c>
      <c r="E33"/>
      <c r="F33" s="716"/>
      <c r="G33" s="547" t="s">
        <v>55</v>
      </c>
      <c r="H33" s="550" t="e">
        <f>H28*H32</f>
        <v>#REF!</v>
      </c>
    </row>
    <row r="34" spans="1:15" x14ac:dyDescent="0.2">
      <c r="A34"/>
      <c r="B34"/>
      <c r="C34"/>
      <c r="D34"/>
      <c r="E34"/>
      <c r="F34"/>
      <c r="G34"/>
      <c r="H34"/>
    </row>
    <row r="35" spans="1:15" ht="16" x14ac:dyDescent="0.2">
      <c r="A35"/>
      <c r="B35" s="717" t="s">
        <v>66</v>
      </c>
      <c r="C35" s="545" t="s">
        <v>50</v>
      </c>
      <c r="D35" s="528">
        <f>+E78</f>
        <v>3.2</v>
      </c>
      <c r="E35"/>
      <c r="F35" s="717" t="s">
        <v>67</v>
      </c>
      <c r="G35" s="545" t="s">
        <v>50</v>
      </c>
      <c r="H35" s="528">
        <f>+E79</f>
        <v>2.4</v>
      </c>
    </row>
    <row r="36" spans="1:15" ht="16" x14ac:dyDescent="0.2">
      <c r="A36"/>
      <c r="B36" s="715"/>
      <c r="C36" s="546" t="s">
        <v>51</v>
      </c>
      <c r="D36" s="544" t="e">
        <f>#REF!</f>
        <v>#REF!</v>
      </c>
      <c r="E36"/>
      <c r="F36" s="715"/>
      <c r="G36" s="546" t="s">
        <v>51</v>
      </c>
      <c r="H36" s="544" t="e">
        <f>#REF!</f>
        <v>#REF!</v>
      </c>
    </row>
    <row r="37" spans="1:15" ht="16" x14ac:dyDescent="0.2">
      <c r="A37"/>
      <c r="B37" s="715"/>
      <c r="C37" s="546" t="s">
        <v>52</v>
      </c>
      <c r="D37" s="544" t="e">
        <f>#REF!</f>
        <v>#REF!</v>
      </c>
      <c r="E37"/>
      <c r="F37" s="715"/>
      <c r="G37" s="546" t="s">
        <v>52</v>
      </c>
      <c r="H37" s="544" t="e">
        <f>#REF!</f>
        <v>#REF!</v>
      </c>
    </row>
    <row r="38" spans="1:15" ht="16" x14ac:dyDescent="0.2">
      <c r="A38"/>
      <c r="B38" s="715"/>
      <c r="C38" s="546" t="s">
        <v>53</v>
      </c>
      <c r="D38" s="549" t="e">
        <f>#REF!</f>
        <v>#REF!</v>
      </c>
      <c r="E38"/>
      <c r="F38" s="715"/>
      <c r="G38" s="546" t="s">
        <v>53</v>
      </c>
      <c r="H38" s="549" t="e">
        <f>#REF!</f>
        <v>#REF!</v>
      </c>
    </row>
    <row r="39" spans="1:15" ht="16" x14ac:dyDescent="0.2">
      <c r="A39"/>
      <c r="B39" s="715"/>
      <c r="C39" s="546" t="s">
        <v>54</v>
      </c>
      <c r="D39" s="544" t="e">
        <f>#REF!</f>
        <v>#REF!</v>
      </c>
      <c r="E39"/>
      <c r="F39" s="715"/>
      <c r="G39" s="546" t="s">
        <v>54</v>
      </c>
      <c r="H39" s="544" t="e">
        <f>#REF!</f>
        <v>#REF!</v>
      </c>
    </row>
    <row r="40" spans="1:15" ht="16" x14ac:dyDescent="0.2">
      <c r="A40"/>
      <c r="B40" s="716"/>
      <c r="C40" s="547" t="s">
        <v>55</v>
      </c>
      <c r="D40" s="550" t="e">
        <f>D35*D39</f>
        <v>#REF!</v>
      </c>
      <c r="E40"/>
      <c r="F40" s="716"/>
      <c r="G40" s="547" t="s">
        <v>55</v>
      </c>
      <c r="H40" s="550" t="e">
        <f>H35*H39</f>
        <v>#REF!</v>
      </c>
    </row>
    <row r="41" spans="1:15" x14ac:dyDescent="0.2">
      <c r="A41"/>
      <c r="B41"/>
      <c r="C41"/>
      <c r="D41"/>
    </row>
    <row r="42" spans="1:15" x14ac:dyDescent="0.2">
      <c r="A42"/>
      <c r="B42"/>
      <c r="C42"/>
      <c r="D42"/>
    </row>
    <row r="43" spans="1:15" x14ac:dyDescent="0.2">
      <c r="A43"/>
      <c r="B43"/>
      <c r="C43"/>
      <c r="D43"/>
    </row>
    <row r="44" spans="1:15" x14ac:dyDescent="0.2">
      <c r="A44"/>
      <c r="B44"/>
      <c r="C44"/>
      <c r="D44"/>
    </row>
    <row r="45" spans="1:15" ht="16" thickBot="1" x14ac:dyDescent="0.25">
      <c r="A45"/>
      <c r="B45"/>
      <c r="C45"/>
      <c r="D45"/>
      <c r="M45" s="618"/>
      <c r="N45" s="617"/>
      <c r="O45" s="308"/>
    </row>
    <row r="46" spans="1:15" ht="17" thickBot="1" x14ac:dyDescent="0.25">
      <c r="A46"/>
      <c r="B46" s="622" t="s">
        <v>68</v>
      </c>
      <c r="C46" s="623" t="s">
        <v>69</v>
      </c>
      <c r="D46" s="623" t="s">
        <v>70</v>
      </c>
      <c r="E46" s="623" t="s">
        <v>71</v>
      </c>
      <c r="F46" s="624" t="s">
        <v>72</v>
      </c>
      <c r="G46" s="616"/>
      <c r="H46" s="616"/>
      <c r="M46" s="618"/>
      <c r="N46" s="617"/>
      <c r="O46" s="308"/>
    </row>
    <row r="47" spans="1:15" ht="39.75" customHeight="1" x14ac:dyDescent="0.2">
      <c r="A47"/>
      <c r="B47" s="728" t="s">
        <v>73</v>
      </c>
      <c r="C47" s="562" t="s">
        <v>74</v>
      </c>
      <c r="D47" s="565" t="s">
        <v>50</v>
      </c>
      <c r="E47" s="565">
        <v>3.2</v>
      </c>
      <c r="F47" s="625" t="s">
        <v>75</v>
      </c>
    </row>
    <row r="48" spans="1:15" x14ac:dyDescent="0.2">
      <c r="A48"/>
      <c r="B48" s="729"/>
      <c r="C48" s="561" t="s">
        <v>76</v>
      </c>
      <c r="D48" s="521" t="s">
        <v>50</v>
      </c>
      <c r="E48" s="521">
        <v>2.4</v>
      </c>
      <c r="F48" s="626" t="s">
        <v>75</v>
      </c>
    </row>
    <row r="49" spans="1:8" x14ac:dyDescent="0.2">
      <c r="A49"/>
      <c r="B49" s="729"/>
      <c r="C49" s="561" t="s">
        <v>74</v>
      </c>
      <c r="D49" s="521" t="s">
        <v>77</v>
      </c>
      <c r="E49" s="521">
        <v>29508</v>
      </c>
      <c r="F49" s="626"/>
    </row>
    <row r="50" spans="1:8" x14ac:dyDescent="0.2">
      <c r="A50"/>
      <c r="B50" s="729"/>
      <c r="C50" s="561" t="s">
        <v>76</v>
      </c>
      <c r="D50" s="521" t="s">
        <v>77</v>
      </c>
      <c r="E50" s="521">
        <v>86224</v>
      </c>
      <c r="F50" s="626"/>
    </row>
    <row r="51" spans="1:8" x14ac:dyDescent="0.2">
      <c r="A51"/>
      <c r="B51" s="729"/>
      <c r="C51" s="561" t="s">
        <v>74</v>
      </c>
      <c r="D51" s="554" t="s">
        <v>78</v>
      </c>
      <c r="E51" s="521">
        <v>5825.21</v>
      </c>
      <c r="F51" s="626" t="s">
        <v>79</v>
      </c>
    </row>
    <row r="52" spans="1:8" x14ac:dyDescent="0.2">
      <c r="A52"/>
      <c r="B52" s="729"/>
      <c r="C52" s="561" t="s">
        <v>76</v>
      </c>
      <c r="D52" s="554" t="s">
        <v>78</v>
      </c>
      <c r="E52" s="554">
        <v>4398.2700000000004</v>
      </c>
      <c r="F52" s="626" t="s">
        <v>79</v>
      </c>
    </row>
    <row r="53" spans="1:8" x14ac:dyDescent="0.2">
      <c r="A53"/>
      <c r="B53" s="729"/>
      <c r="C53" s="561" t="s">
        <v>74</v>
      </c>
      <c r="D53" s="554" t="s">
        <v>80</v>
      </c>
      <c r="E53" s="560">
        <f>+E51/E49</f>
        <v>0.19741121051918123</v>
      </c>
      <c r="F53" s="626" t="s">
        <v>79</v>
      </c>
    </row>
    <row r="54" spans="1:8" ht="16" thickBot="1" x14ac:dyDescent="0.25">
      <c r="A54"/>
      <c r="B54" s="730"/>
      <c r="C54" s="566" t="s">
        <v>76</v>
      </c>
      <c r="D54" s="570" t="s">
        <v>80</v>
      </c>
      <c r="E54" s="571">
        <f>+E52/E50</f>
        <v>5.100981165336798E-2</v>
      </c>
      <c r="F54" s="627" t="s">
        <v>79</v>
      </c>
    </row>
    <row r="55" spans="1:8" ht="16" thickBot="1" x14ac:dyDescent="0.25">
      <c r="A55"/>
      <c r="B55" s="628"/>
      <c r="C55" s="259"/>
      <c r="F55" s="629"/>
    </row>
    <row r="56" spans="1:8" x14ac:dyDescent="0.2">
      <c r="A56"/>
      <c r="B56" s="725" t="s">
        <v>81</v>
      </c>
      <c r="C56" s="562" t="s">
        <v>74</v>
      </c>
      <c r="D56" s="569" t="s">
        <v>82</v>
      </c>
      <c r="E56" s="564" t="e">
        <f>+#REF!</f>
        <v>#REF!</v>
      </c>
      <c r="F56" s="625" t="s">
        <v>83</v>
      </c>
    </row>
    <row r="57" spans="1:8" x14ac:dyDescent="0.2">
      <c r="A57"/>
      <c r="B57" s="726"/>
      <c r="C57" s="561" t="s">
        <v>76</v>
      </c>
      <c r="D57" s="554" t="s">
        <v>82</v>
      </c>
      <c r="E57" s="521" t="e">
        <f>+#REF!</f>
        <v>#REF!</v>
      </c>
      <c r="F57" s="626" t="s">
        <v>83</v>
      </c>
    </row>
    <row r="58" spans="1:8" x14ac:dyDescent="0.2">
      <c r="A58"/>
      <c r="B58" s="726"/>
      <c r="C58" s="561" t="s">
        <v>74</v>
      </c>
      <c r="D58" s="521" t="s">
        <v>50</v>
      </c>
      <c r="E58" s="559">
        <v>3.2</v>
      </c>
      <c r="F58" s="626" t="s">
        <v>84</v>
      </c>
    </row>
    <row r="59" spans="1:8" ht="16" thickBot="1" x14ac:dyDescent="0.25">
      <c r="A59"/>
      <c r="B59" s="731"/>
      <c r="C59" s="566" t="s">
        <v>76</v>
      </c>
      <c r="D59" s="567" t="s">
        <v>50</v>
      </c>
      <c r="E59" s="568">
        <v>2.4</v>
      </c>
      <c r="F59" s="627" t="s">
        <v>84</v>
      </c>
    </row>
    <row r="60" spans="1:8" ht="16" thickBot="1" x14ac:dyDescent="0.25">
      <c r="A60"/>
      <c r="B60" s="628"/>
      <c r="C60" s="630"/>
      <c r="F60" s="629"/>
    </row>
    <row r="61" spans="1:8" x14ac:dyDescent="0.2">
      <c r="A61"/>
      <c r="B61" s="725" t="s">
        <v>85</v>
      </c>
      <c r="C61" s="562" t="s">
        <v>74</v>
      </c>
      <c r="D61" s="563" t="s">
        <v>82</v>
      </c>
      <c r="E61" s="565">
        <f>+SUM(GeneratorGrantProgram!J29:M29)</f>
        <v>509.99999999999994</v>
      </c>
      <c r="F61" s="625" t="s">
        <v>83</v>
      </c>
      <c r="G61" s="275"/>
    </row>
    <row r="62" spans="1:8" x14ac:dyDescent="0.2">
      <c r="A62"/>
      <c r="B62" s="726"/>
      <c r="C62" s="561" t="s">
        <v>76</v>
      </c>
      <c r="D62" s="555" t="s">
        <v>82</v>
      </c>
      <c r="E62" s="556">
        <f>+SUM(GeneratorGrantProgram!J30:M30)</f>
        <v>1745.7142857142856</v>
      </c>
      <c r="F62" s="626" t="s">
        <v>83</v>
      </c>
      <c r="G62" s="275"/>
      <c r="H62" s="275"/>
    </row>
    <row r="63" spans="1:8" x14ac:dyDescent="0.2">
      <c r="A63"/>
      <c r="B63" s="726"/>
      <c r="C63" s="561" t="s">
        <v>74</v>
      </c>
      <c r="D63" s="521" t="s">
        <v>50</v>
      </c>
      <c r="E63" s="559">
        <f>+$E$47*$E$53</f>
        <v>0.63171587366137993</v>
      </c>
      <c r="F63" s="626" t="s">
        <v>86</v>
      </c>
      <c r="G63" s="275"/>
      <c r="H63" s="275"/>
    </row>
    <row r="64" spans="1:8" ht="16" thickBot="1" x14ac:dyDescent="0.25">
      <c r="A64"/>
      <c r="B64" s="731"/>
      <c r="C64" s="566" t="s">
        <v>76</v>
      </c>
      <c r="D64" s="567" t="s">
        <v>50</v>
      </c>
      <c r="E64" s="568">
        <f>+$E$48*$E$54</f>
        <v>0.12242354796808315</v>
      </c>
      <c r="F64" s="627" t="s">
        <v>86</v>
      </c>
      <c r="G64" s="275"/>
      <c r="H64" s="275"/>
    </row>
    <row r="65" spans="1:8" ht="16" thickBot="1" x14ac:dyDescent="0.25">
      <c r="A65"/>
      <c r="B65" s="628"/>
      <c r="C65" s="630"/>
      <c r="F65" s="629"/>
    </row>
    <row r="66" spans="1:8" x14ac:dyDescent="0.2">
      <c r="A66"/>
      <c r="B66" s="725" t="s">
        <v>87</v>
      </c>
      <c r="C66" s="562" t="s">
        <v>74</v>
      </c>
      <c r="D66" s="563" t="s">
        <v>82</v>
      </c>
      <c r="E66" s="564" t="e">
        <f>+SUM(#REF!)</f>
        <v>#REF!</v>
      </c>
      <c r="F66" s="625" t="s">
        <v>83</v>
      </c>
      <c r="G66" s="275"/>
    </row>
    <row r="67" spans="1:8" x14ac:dyDescent="0.2">
      <c r="A67"/>
      <c r="B67" s="726"/>
      <c r="C67" s="561" t="s">
        <v>76</v>
      </c>
      <c r="D67" s="555" t="s">
        <v>82</v>
      </c>
      <c r="E67" s="556" t="e">
        <f>+SUM(#REF!)</f>
        <v>#REF!</v>
      </c>
      <c r="F67" s="626" t="s">
        <v>83</v>
      </c>
      <c r="G67" s="275"/>
      <c r="H67" s="275"/>
    </row>
    <row r="68" spans="1:8" x14ac:dyDescent="0.2">
      <c r="A68"/>
      <c r="B68" s="726"/>
      <c r="C68" s="561" t="s">
        <v>74</v>
      </c>
      <c r="D68" s="521" t="s">
        <v>50</v>
      </c>
      <c r="E68" s="559">
        <f>+$E$47*$E$53</f>
        <v>0.63171587366137993</v>
      </c>
      <c r="F68" s="626"/>
      <c r="G68" s="275"/>
      <c r="H68" s="275"/>
    </row>
    <row r="69" spans="1:8" ht="16" thickBot="1" x14ac:dyDescent="0.25">
      <c r="A69"/>
      <c r="B69" s="731"/>
      <c r="C69" s="566" t="s">
        <v>76</v>
      </c>
      <c r="D69" s="567" t="s">
        <v>50</v>
      </c>
      <c r="E69" s="568">
        <f>+$E$48*$E$54</f>
        <v>0.12242354796808315</v>
      </c>
      <c r="F69" s="627"/>
      <c r="G69" s="275"/>
      <c r="H69" s="275"/>
    </row>
    <row r="70" spans="1:8" ht="16" thickBot="1" x14ac:dyDescent="0.25">
      <c r="A70"/>
      <c r="B70" s="631"/>
      <c r="C70" s="630"/>
      <c r="F70" s="629"/>
    </row>
    <row r="71" spans="1:8" x14ac:dyDescent="0.2">
      <c r="A71"/>
      <c r="B71" s="725" t="s">
        <v>88</v>
      </c>
      <c r="C71" s="562" t="s">
        <v>74</v>
      </c>
      <c r="D71" s="563" t="s">
        <v>82</v>
      </c>
      <c r="E71" s="564" t="e">
        <f>SUM(#REF!)</f>
        <v>#REF!</v>
      </c>
      <c r="F71" s="625" t="s">
        <v>83</v>
      </c>
      <c r="G71" s="275"/>
    </row>
    <row r="72" spans="1:8" x14ac:dyDescent="0.2">
      <c r="A72"/>
      <c r="B72" s="726"/>
      <c r="C72" s="561" t="s">
        <v>76</v>
      </c>
      <c r="D72" s="555" t="s">
        <v>82</v>
      </c>
      <c r="E72" s="556" t="e">
        <f>SUM(#REF!)</f>
        <v>#REF!</v>
      </c>
      <c r="F72" s="626" t="s">
        <v>83</v>
      </c>
      <c r="G72" s="275"/>
      <c r="H72" s="275"/>
    </row>
    <row r="73" spans="1:8" x14ac:dyDescent="0.2">
      <c r="A73"/>
      <c r="B73" s="726"/>
      <c r="C73" s="561" t="s">
        <v>74</v>
      </c>
      <c r="D73" s="521" t="s">
        <v>50</v>
      </c>
      <c r="E73" s="559">
        <f>+E47</f>
        <v>3.2</v>
      </c>
      <c r="F73" s="626"/>
      <c r="G73" s="275"/>
      <c r="H73" s="275"/>
    </row>
    <row r="74" spans="1:8" ht="16" thickBot="1" x14ac:dyDescent="0.25">
      <c r="A74"/>
      <c r="B74" s="731"/>
      <c r="C74" s="566" t="s">
        <v>76</v>
      </c>
      <c r="D74" s="567" t="s">
        <v>50</v>
      </c>
      <c r="E74" s="568">
        <f>+E48</f>
        <v>2.4</v>
      </c>
      <c r="F74" s="627"/>
      <c r="G74" s="275"/>
      <c r="H74" s="275"/>
    </row>
    <row r="75" spans="1:8" ht="16" thickBot="1" x14ac:dyDescent="0.25">
      <c r="A75"/>
      <c r="B75" s="628"/>
      <c r="C75" s="630"/>
      <c r="F75" s="629"/>
    </row>
    <row r="76" spans="1:8" x14ac:dyDescent="0.2">
      <c r="A76"/>
      <c r="B76" s="725" t="s">
        <v>89</v>
      </c>
      <c r="C76" s="562" t="s">
        <v>74</v>
      </c>
      <c r="D76" s="563" t="s">
        <v>82</v>
      </c>
      <c r="E76" s="564" t="e">
        <f>SUM(#REF!)</f>
        <v>#REF!</v>
      </c>
      <c r="F76" s="625" t="s">
        <v>83</v>
      </c>
      <c r="G76" s="275"/>
    </row>
    <row r="77" spans="1:8" x14ac:dyDescent="0.2">
      <c r="A77"/>
      <c r="B77" s="726"/>
      <c r="C77" s="561" t="s">
        <v>76</v>
      </c>
      <c r="D77" s="555" t="s">
        <v>82</v>
      </c>
      <c r="E77" s="556" t="e">
        <f>SUM(#REF!)</f>
        <v>#REF!</v>
      </c>
      <c r="F77" s="626" t="s">
        <v>83</v>
      </c>
      <c r="G77" s="275"/>
      <c r="H77" s="275"/>
    </row>
    <row r="78" spans="1:8" x14ac:dyDescent="0.2">
      <c r="A78"/>
      <c r="B78" s="726"/>
      <c r="C78" s="561" t="s">
        <v>74</v>
      </c>
      <c r="D78" s="521" t="s">
        <v>50</v>
      </c>
      <c r="E78" s="559">
        <f>+E47</f>
        <v>3.2</v>
      </c>
      <c r="F78" s="626"/>
      <c r="G78" s="275"/>
      <c r="H78" s="275"/>
    </row>
    <row r="79" spans="1:8" ht="16" thickBot="1" x14ac:dyDescent="0.25">
      <c r="A79"/>
      <c r="B79" s="727"/>
      <c r="C79" s="632" t="s">
        <v>76</v>
      </c>
      <c r="D79" s="633" t="s">
        <v>50</v>
      </c>
      <c r="E79" s="634">
        <f>+E48</f>
        <v>2.4</v>
      </c>
      <c r="F79" s="635"/>
      <c r="G79" s="275"/>
      <c r="H79" s="275"/>
    </row>
    <row r="80" spans="1:8"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8" x14ac:dyDescent="0.2">
      <c r="A97"/>
    </row>
    <row r="98" spans="1:8" x14ac:dyDescent="0.2">
      <c r="A98"/>
    </row>
    <row r="99" spans="1:8" x14ac:dyDescent="0.2">
      <c r="A99"/>
    </row>
    <row r="100" spans="1:8" x14ac:dyDescent="0.2">
      <c r="A100"/>
    </row>
    <row r="101" spans="1:8" x14ac:dyDescent="0.2">
      <c r="A101"/>
    </row>
    <row r="102" spans="1:8" x14ac:dyDescent="0.2">
      <c r="A102"/>
    </row>
    <row r="103" spans="1:8" x14ac:dyDescent="0.2">
      <c r="A103"/>
    </row>
    <row r="104" spans="1:8" x14ac:dyDescent="0.2">
      <c r="A104"/>
    </row>
    <row r="105" spans="1:8" x14ac:dyDescent="0.2">
      <c r="A105"/>
    </row>
    <row r="106" spans="1:8" x14ac:dyDescent="0.2">
      <c r="A106"/>
    </row>
    <row r="107" spans="1:8" x14ac:dyDescent="0.2">
      <c r="A107"/>
    </row>
    <row r="108" spans="1:8" x14ac:dyDescent="0.2">
      <c r="A108"/>
    </row>
    <row r="109" spans="1:8" x14ac:dyDescent="0.2">
      <c r="A109"/>
    </row>
    <row r="110" spans="1:8" x14ac:dyDescent="0.2">
      <c r="A110"/>
    </row>
    <row r="111" spans="1:8" x14ac:dyDescent="0.2">
      <c r="A111"/>
      <c r="B111"/>
    </row>
    <row r="112" spans="1:8" x14ac:dyDescent="0.2">
      <c r="A112"/>
      <c r="B112" s="526"/>
      <c r="C112" s="526"/>
      <c r="D112" s="526"/>
      <c r="G112" s="153">
        <v>2</v>
      </c>
      <c r="H112" s="153">
        <v>4</v>
      </c>
    </row>
    <row r="113" spans="2:8" x14ac:dyDescent="0.2">
      <c r="B113" s="155"/>
      <c r="C113" s="155"/>
      <c r="D113" s="155"/>
      <c r="E113" s="155"/>
      <c r="F113" s="155"/>
    </row>
    <row r="114" spans="2:8" x14ac:dyDescent="0.2">
      <c r="B114" s="155"/>
      <c r="C114" s="155"/>
      <c r="D114" s="155"/>
      <c r="E114" s="155"/>
      <c r="F114" s="155"/>
    </row>
    <row r="115" spans="2:8" x14ac:dyDescent="0.2">
      <c r="B115" s="155"/>
      <c r="C115" s="155"/>
      <c r="D115" s="155"/>
      <c r="E115" s="155"/>
      <c r="F115" s="155"/>
    </row>
    <row r="116" spans="2:8" x14ac:dyDescent="0.2">
      <c r="B116" s="155"/>
      <c r="C116" s="155"/>
      <c r="D116" s="155"/>
      <c r="E116" s="155"/>
      <c r="F116" s="155"/>
    </row>
    <row r="117" spans="2:8" ht="16" x14ac:dyDescent="0.2">
      <c r="B117" s="516" t="s">
        <v>68</v>
      </c>
      <c r="C117" s="516" t="s">
        <v>90</v>
      </c>
      <c r="D117" s="516" t="s">
        <v>70</v>
      </c>
      <c r="E117" s="516" t="s">
        <v>71</v>
      </c>
      <c r="F117" s="619" t="s">
        <v>72</v>
      </c>
      <c r="G117" s="616"/>
      <c r="H117" s="616"/>
    </row>
    <row r="118" spans="2:8" ht="16" x14ac:dyDescent="0.2">
      <c r="B118" s="721" t="s">
        <v>91</v>
      </c>
      <c r="C118" s="517"/>
      <c r="D118" s="600" t="s">
        <v>92</v>
      </c>
      <c r="E118" s="520">
        <v>15</v>
      </c>
      <c r="F118" s="601" t="s">
        <v>93</v>
      </c>
      <c r="G118"/>
      <c r="H118"/>
    </row>
    <row r="119" spans="2:8" ht="16" x14ac:dyDescent="0.2">
      <c r="B119" s="723"/>
      <c r="C119" s="517"/>
      <c r="D119" s="600" t="s">
        <v>94</v>
      </c>
      <c r="E119" s="518">
        <v>200000</v>
      </c>
      <c r="F119" s="601" t="s">
        <v>95</v>
      </c>
      <c r="G119"/>
      <c r="H119" s="620"/>
    </row>
    <row r="120" spans="2:8" ht="16" x14ac:dyDescent="0.2">
      <c r="B120" s="723"/>
      <c r="C120" s="517"/>
      <c r="D120" s="600" t="s">
        <v>96</v>
      </c>
      <c r="E120" s="520">
        <f>1/20</f>
        <v>0.05</v>
      </c>
      <c r="F120" s="601" t="s">
        <v>97</v>
      </c>
      <c r="G120"/>
      <c r="H120"/>
    </row>
    <row r="121" spans="2:8" ht="32" x14ac:dyDescent="0.2">
      <c r="B121" s="723"/>
      <c r="C121" s="517"/>
      <c r="D121" s="600" t="s">
        <v>98</v>
      </c>
      <c r="E121" s="602">
        <v>5.04</v>
      </c>
      <c r="F121" s="601" t="s">
        <v>97</v>
      </c>
      <c r="G121"/>
      <c r="H121" s="620"/>
    </row>
    <row r="122" spans="2:8" ht="32" x14ac:dyDescent="0.2">
      <c r="B122" s="723"/>
      <c r="C122" s="517"/>
      <c r="D122" s="603" t="s">
        <v>99</v>
      </c>
      <c r="E122" s="514">
        <v>0.35790181955803202</v>
      </c>
      <c r="F122" s="601" t="s">
        <v>100</v>
      </c>
      <c r="G122"/>
      <c r="H122" s="620"/>
    </row>
    <row r="123" spans="2:8" ht="32" x14ac:dyDescent="0.2">
      <c r="B123" s="723"/>
      <c r="C123" s="517"/>
      <c r="D123" s="603" t="s">
        <v>101</v>
      </c>
      <c r="E123" s="514">
        <v>0.62649693576062659</v>
      </c>
      <c r="F123" s="601" t="s">
        <v>100</v>
      </c>
      <c r="G123"/>
      <c r="H123" s="620"/>
    </row>
    <row r="124" spans="2:8" ht="32" x14ac:dyDescent="0.2">
      <c r="B124" s="723"/>
      <c r="C124" s="517"/>
      <c r="D124" s="600" t="s">
        <v>102</v>
      </c>
      <c r="E124" s="514">
        <v>1.5601244681337726E-2</v>
      </c>
      <c r="F124" s="601" t="s">
        <v>100</v>
      </c>
      <c r="G124"/>
      <c r="H124" s="620"/>
    </row>
    <row r="125" spans="2:8" ht="16" x14ac:dyDescent="0.2">
      <c r="B125" s="723"/>
      <c r="C125" s="517"/>
      <c r="D125" s="600" t="s">
        <v>103</v>
      </c>
      <c r="E125" s="518">
        <f>+$E$120*$E$119*E122/E118</f>
        <v>238.601213038688</v>
      </c>
      <c r="F125" s="601"/>
      <c r="G125"/>
      <c r="H125" s="620"/>
    </row>
    <row r="126" spans="2:8" ht="16" x14ac:dyDescent="0.2">
      <c r="B126" s="723"/>
      <c r="C126" s="517"/>
      <c r="D126" s="600" t="s">
        <v>104</v>
      </c>
      <c r="E126" s="518">
        <f>+$E$120*$E$119*E123/E118</f>
        <v>417.66462384041773</v>
      </c>
      <c r="F126" s="601"/>
      <c r="G126"/>
      <c r="H126" s="620"/>
    </row>
    <row r="127" spans="2:8" ht="16" x14ac:dyDescent="0.2">
      <c r="B127" s="723"/>
      <c r="C127" s="517"/>
      <c r="D127" s="600" t="s">
        <v>105</v>
      </c>
      <c r="E127" s="518">
        <f>+$E$120*$E$119*E124/E118</f>
        <v>10.400829787558484</v>
      </c>
      <c r="F127" s="601"/>
      <c r="G127"/>
      <c r="H127" s="620"/>
    </row>
    <row r="128" spans="2:8" ht="16" x14ac:dyDescent="0.2">
      <c r="B128" s="723"/>
      <c r="C128" s="517"/>
      <c r="D128" s="603" t="s">
        <v>106</v>
      </c>
      <c r="E128" s="519">
        <f>E120*(E119*0.00005+E121)</f>
        <v>0.752</v>
      </c>
      <c r="F128" s="601" t="s">
        <v>107</v>
      </c>
      <c r="G128"/>
      <c r="H128" s="620"/>
    </row>
    <row r="129" spans="2:8" ht="16" x14ac:dyDescent="0.2">
      <c r="B129" s="723"/>
      <c r="C129" s="517"/>
      <c r="D129" s="603" t="s">
        <v>108</v>
      </c>
      <c r="E129" s="515">
        <f>1175+591</f>
        <v>1766</v>
      </c>
      <c r="F129" s="601"/>
      <c r="G129"/>
      <c r="H129" s="620"/>
    </row>
    <row r="130" spans="2:8" ht="16" x14ac:dyDescent="0.2">
      <c r="B130" s="723"/>
      <c r="C130" s="517"/>
      <c r="D130" s="603" t="s">
        <v>109</v>
      </c>
      <c r="E130" s="515">
        <v>1000000</v>
      </c>
      <c r="F130" s="601"/>
      <c r="G130"/>
      <c r="H130" s="620"/>
    </row>
    <row r="131" spans="2:8" ht="16" x14ac:dyDescent="0.2">
      <c r="B131" s="723"/>
      <c r="C131" s="517"/>
      <c r="D131" s="603" t="s">
        <v>110</v>
      </c>
      <c r="E131" s="520">
        <v>8.7500000000000008E-3</v>
      </c>
      <c r="F131" s="601"/>
      <c r="G131"/>
      <c r="H131" s="620"/>
    </row>
    <row r="132" spans="2:8" x14ac:dyDescent="0.2">
      <c r="B132" s="722"/>
      <c r="C132" s="517"/>
      <c r="D132" s="517"/>
      <c r="E132" s="517"/>
      <c r="F132" s="605"/>
      <c r="G132" s="616"/>
      <c r="H132" s="616"/>
    </row>
    <row r="133" spans="2:8" ht="16" x14ac:dyDescent="0.2">
      <c r="B133" s="724" t="s">
        <v>111</v>
      </c>
      <c r="C133" s="523" t="s">
        <v>74</v>
      </c>
      <c r="D133" s="600" t="s">
        <v>112</v>
      </c>
      <c r="E133" s="606">
        <f>'Master Inputs '!N37</f>
        <v>6.2</v>
      </c>
      <c r="F133" s="601" t="s">
        <v>113</v>
      </c>
      <c r="G133"/>
      <c r="H133"/>
    </row>
    <row r="134" spans="2:8" ht="16" x14ac:dyDescent="0.2">
      <c r="B134" s="724"/>
      <c r="C134" s="523" t="s">
        <v>76</v>
      </c>
      <c r="D134" s="600" t="s">
        <v>112</v>
      </c>
      <c r="E134" s="606">
        <f>'Master Inputs '!N36</f>
        <v>5.8</v>
      </c>
      <c r="F134" s="601" t="s">
        <v>113</v>
      </c>
      <c r="G134"/>
      <c r="H134"/>
    </row>
    <row r="135" spans="2:8" ht="16" x14ac:dyDescent="0.2">
      <c r="B135" s="724"/>
      <c r="C135" s="523" t="s">
        <v>114</v>
      </c>
      <c r="D135" s="600" t="s">
        <v>115</v>
      </c>
      <c r="E135" s="606">
        <f>'Master Inputs '!N35</f>
        <v>7.2</v>
      </c>
      <c r="F135" s="601" t="s">
        <v>113</v>
      </c>
      <c r="G135"/>
      <c r="H135"/>
    </row>
    <row r="136" spans="2:8" ht="24.75" customHeight="1" x14ac:dyDescent="0.2">
      <c r="B136" s="522" t="s">
        <v>116</v>
      </c>
      <c r="C136" s="615" t="s">
        <v>117</v>
      </c>
      <c r="D136" s="600" t="s">
        <v>115</v>
      </c>
      <c r="E136" s="607">
        <v>4</v>
      </c>
      <c r="F136" s="601" t="s">
        <v>118</v>
      </c>
      <c r="G136" s="621"/>
      <c r="H136"/>
    </row>
    <row r="137" spans="2:8" x14ac:dyDescent="0.2">
      <c r="B137" s="718" t="s">
        <v>119</v>
      </c>
      <c r="C137" s="721" t="s">
        <v>120</v>
      </c>
      <c r="D137" s="600"/>
      <c r="E137" s="520"/>
      <c r="F137" s="601"/>
      <c r="G137"/>
      <c r="H137"/>
    </row>
    <row r="138" spans="2:8" x14ac:dyDescent="0.2">
      <c r="B138" s="719"/>
      <c r="C138" s="723"/>
      <c r="D138" s="600"/>
      <c r="E138" s="602"/>
      <c r="F138" s="601"/>
      <c r="G138"/>
      <c r="H138" s="620"/>
    </row>
    <row r="139" spans="2:8" x14ac:dyDescent="0.2">
      <c r="B139" s="719"/>
      <c r="C139" s="723"/>
      <c r="D139" s="600"/>
      <c r="E139" s="518"/>
      <c r="F139" s="601"/>
      <c r="G139"/>
      <c r="H139" s="620"/>
    </row>
    <row r="140" spans="2:8" x14ac:dyDescent="0.2">
      <c r="B140" s="719"/>
      <c r="C140" s="723"/>
      <c r="D140" s="603"/>
      <c r="E140" s="519"/>
      <c r="F140" s="601"/>
      <c r="G140"/>
      <c r="H140"/>
    </row>
    <row r="141" spans="2:8" ht="16" x14ac:dyDescent="0.2">
      <c r="B141" s="719"/>
      <c r="C141" s="723"/>
      <c r="D141" s="603" t="s">
        <v>121</v>
      </c>
      <c r="E141" s="513">
        <f>36.8%</f>
        <v>0.36799999999999999</v>
      </c>
      <c r="F141" s="601" t="s">
        <v>122</v>
      </c>
      <c r="G141"/>
      <c r="H141"/>
    </row>
    <row r="142" spans="2:8" ht="16" x14ac:dyDescent="0.2">
      <c r="B142" s="719"/>
      <c r="C142" s="723"/>
      <c r="D142" s="603" t="s">
        <v>123</v>
      </c>
      <c r="E142" s="513">
        <v>0.63200000000000001</v>
      </c>
      <c r="F142" s="601" t="s">
        <v>122</v>
      </c>
      <c r="G142"/>
      <c r="H142"/>
    </row>
    <row r="143" spans="2:8" ht="16" x14ac:dyDescent="0.2">
      <c r="B143" s="719"/>
      <c r="C143" s="723"/>
      <c r="D143" s="603" t="s">
        <v>124</v>
      </c>
      <c r="E143" s="604">
        <f>+$E$128*E122</f>
        <v>0.2691421683076401</v>
      </c>
      <c r="F143" s="601" t="s">
        <v>107</v>
      </c>
      <c r="G143"/>
      <c r="H143"/>
    </row>
    <row r="144" spans="2:8" ht="16" x14ac:dyDescent="0.2">
      <c r="B144" s="719"/>
      <c r="C144" s="722"/>
      <c r="D144" s="603" t="s">
        <v>125</v>
      </c>
      <c r="E144" s="604">
        <f>+$E$128*E123</f>
        <v>0.4711256956919912</v>
      </c>
      <c r="F144" s="601" t="s">
        <v>107</v>
      </c>
      <c r="G144"/>
      <c r="H144"/>
    </row>
    <row r="145" spans="2:8" x14ac:dyDescent="0.2">
      <c r="B145" s="719"/>
      <c r="C145" s="721" t="s">
        <v>114</v>
      </c>
      <c r="D145" s="603"/>
      <c r="E145" s="513"/>
      <c r="F145" s="601"/>
      <c r="G145"/>
      <c r="H145"/>
    </row>
    <row r="146" spans="2:8" ht="16" x14ac:dyDescent="0.2">
      <c r="B146" s="719"/>
      <c r="C146" s="722"/>
      <c r="D146" s="603" t="s">
        <v>126</v>
      </c>
      <c r="E146" s="608">
        <f>+$E$128*E124</f>
        <v>1.173213600036597E-2</v>
      </c>
      <c r="F146" s="601" t="s">
        <v>107</v>
      </c>
      <c r="G146"/>
      <c r="H146"/>
    </row>
    <row r="147" spans="2:8" ht="16" x14ac:dyDescent="0.2">
      <c r="B147" s="719"/>
      <c r="C147" s="721" t="s">
        <v>127</v>
      </c>
      <c r="D147" s="600" t="s">
        <v>128</v>
      </c>
      <c r="E147" s="602">
        <v>1.7771930271026849E-2</v>
      </c>
      <c r="F147" s="601" t="s">
        <v>97</v>
      </c>
      <c r="G147"/>
      <c r="H147"/>
    </row>
    <row r="148" spans="2:8" ht="16" x14ac:dyDescent="0.2">
      <c r="B148" s="719"/>
      <c r="C148" s="723"/>
      <c r="D148" s="600" t="s">
        <v>123</v>
      </c>
      <c r="E148" s="609">
        <v>0.7</v>
      </c>
      <c r="F148" s="601" t="s">
        <v>97</v>
      </c>
      <c r="G148"/>
      <c r="H148"/>
    </row>
    <row r="149" spans="2:8" ht="16" x14ac:dyDescent="0.2">
      <c r="B149" s="719"/>
      <c r="C149" s="723"/>
      <c r="D149" s="600" t="s">
        <v>121</v>
      </c>
      <c r="E149" s="610">
        <v>0.3</v>
      </c>
      <c r="F149" s="601" t="s">
        <v>97</v>
      </c>
      <c r="G149"/>
      <c r="H149"/>
    </row>
    <row r="150" spans="2:8" ht="16" x14ac:dyDescent="0.2">
      <c r="B150" s="719"/>
      <c r="C150" s="723"/>
      <c r="D150" s="603" t="s">
        <v>129</v>
      </c>
      <c r="E150" s="611">
        <f>E148*E147/E136</f>
        <v>3.1100877974296983E-3</v>
      </c>
      <c r="F150" s="601" t="s">
        <v>107</v>
      </c>
      <c r="G150"/>
      <c r="H150"/>
    </row>
    <row r="151" spans="2:8" ht="16" x14ac:dyDescent="0.2">
      <c r="B151" s="720"/>
      <c r="C151" s="722"/>
      <c r="D151" s="603" t="s">
        <v>130</v>
      </c>
      <c r="E151" s="611">
        <f>E149*E147/E136</f>
        <v>1.3328947703270136E-3</v>
      </c>
      <c r="F151" s="601" t="s">
        <v>107</v>
      </c>
      <c r="G151"/>
      <c r="H151"/>
    </row>
    <row r="152" spans="2:8" x14ac:dyDescent="0.2">
      <c r="B152" s="718" t="s">
        <v>131</v>
      </c>
      <c r="C152" s="721" t="s">
        <v>120</v>
      </c>
      <c r="D152" s="603"/>
      <c r="E152" s="612"/>
      <c r="F152" s="601"/>
      <c r="G152"/>
      <c r="H152"/>
    </row>
    <row r="153" spans="2:8" ht="32" x14ac:dyDescent="0.2">
      <c r="B153" s="719"/>
      <c r="C153" s="723"/>
      <c r="D153" s="603" t="s">
        <v>132</v>
      </c>
      <c r="E153" s="613">
        <f>(E126*$E$129+E126*$E$131*$E$130)/1000000</f>
        <v>4.3921611843058335</v>
      </c>
      <c r="F153" s="601" t="s">
        <v>107</v>
      </c>
      <c r="G153"/>
      <c r="H153"/>
    </row>
    <row r="154" spans="2:8" ht="32" x14ac:dyDescent="0.2">
      <c r="B154" s="719"/>
      <c r="C154" s="722"/>
      <c r="D154" s="603" t="s">
        <v>133</v>
      </c>
      <c r="E154" s="613">
        <f>(E125*$E$129+E125*$E$131*$E$130)/1000000</f>
        <v>2.5091303563148437</v>
      </c>
      <c r="F154" s="601" t="s">
        <v>107</v>
      </c>
      <c r="G154"/>
      <c r="H154"/>
    </row>
    <row r="155" spans="2:8" x14ac:dyDescent="0.2">
      <c r="B155" s="719"/>
      <c r="C155" s="721" t="s">
        <v>114</v>
      </c>
      <c r="D155" s="603"/>
      <c r="E155" s="613"/>
      <c r="F155" s="601"/>
      <c r="G155"/>
      <c r="H155"/>
    </row>
    <row r="156" spans="2:8" ht="16" x14ac:dyDescent="0.2">
      <c r="B156" s="719"/>
      <c r="C156" s="722"/>
      <c r="D156" s="603" t="s">
        <v>134</v>
      </c>
      <c r="E156" s="613">
        <f>(E127*$E$122+E127*$E$124*$E$123)/1000000</f>
        <v>3.8241349889975412E-6</v>
      </c>
      <c r="F156" s="601" t="s">
        <v>107</v>
      </c>
      <c r="G156"/>
      <c r="H156"/>
    </row>
    <row r="157" spans="2:8" ht="32" x14ac:dyDescent="0.2">
      <c r="B157" s="719"/>
      <c r="C157" s="721" t="s">
        <v>127</v>
      </c>
      <c r="D157" s="603" t="s">
        <v>132</v>
      </c>
      <c r="E157" s="614">
        <f>18.45082*E148</f>
        <v>12.915573999999999</v>
      </c>
      <c r="F157" s="601" t="s">
        <v>97</v>
      </c>
      <c r="G157"/>
      <c r="H157"/>
    </row>
    <row r="158" spans="2:8" ht="32" x14ac:dyDescent="0.2">
      <c r="B158" s="720"/>
      <c r="C158" s="722"/>
      <c r="D158" s="603" t="s">
        <v>133</v>
      </c>
      <c r="E158" s="614">
        <f>18.45082*E149</f>
        <v>5.5352459999999999</v>
      </c>
      <c r="F158" s="601" t="s">
        <v>97</v>
      </c>
      <c r="G158"/>
      <c r="H158"/>
    </row>
    <row r="159" spans="2:8" ht="16" x14ac:dyDescent="0.2">
      <c r="B159" s="718" t="s">
        <v>135</v>
      </c>
      <c r="C159" s="721" t="s">
        <v>120</v>
      </c>
      <c r="D159" s="603" t="s">
        <v>136</v>
      </c>
      <c r="E159" s="608">
        <f>0.024/E133</f>
        <v>3.8709677419354839E-3</v>
      </c>
      <c r="F159" s="601" t="s">
        <v>137</v>
      </c>
      <c r="G159"/>
      <c r="H159"/>
    </row>
    <row r="160" spans="2:8" ht="16" x14ac:dyDescent="0.2">
      <c r="B160" s="719"/>
      <c r="C160" s="722"/>
      <c r="D160" s="603" t="s">
        <v>138</v>
      </c>
      <c r="E160" s="608">
        <f>0.014/E134</f>
        <v>2.413793103448276E-3</v>
      </c>
      <c r="F160" s="601" t="s">
        <v>137</v>
      </c>
      <c r="G160"/>
      <c r="H160"/>
    </row>
    <row r="161" spans="2:8" ht="16" x14ac:dyDescent="0.2">
      <c r="B161" s="719"/>
      <c r="C161" s="523" t="s">
        <v>114</v>
      </c>
      <c r="D161" s="603" t="s">
        <v>139</v>
      </c>
      <c r="E161" s="608">
        <f>0.0009/E135</f>
        <v>1.25E-4</v>
      </c>
      <c r="F161" s="601" t="s">
        <v>137</v>
      </c>
      <c r="G161"/>
      <c r="H161"/>
    </row>
    <row r="162" spans="2:8" ht="16" x14ac:dyDescent="0.2">
      <c r="B162" s="719"/>
      <c r="C162" s="721" t="s">
        <v>127</v>
      </c>
      <c r="D162" s="603" t="s">
        <v>140</v>
      </c>
      <c r="E162" s="614">
        <v>37.618000000000002</v>
      </c>
      <c r="F162" s="601" t="s">
        <v>97</v>
      </c>
      <c r="G162"/>
      <c r="H162"/>
    </row>
    <row r="163" spans="2:8" ht="16" x14ac:dyDescent="0.2">
      <c r="B163" s="719"/>
      <c r="C163" s="723"/>
      <c r="D163" s="603" t="s">
        <v>141</v>
      </c>
      <c r="E163" s="607">
        <v>2.359E-2</v>
      </c>
      <c r="F163" s="601" t="s">
        <v>97</v>
      </c>
      <c r="G163"/>
      <c r="H163"/>
    </row>
    <row r="164" spans="2:8" ht="16" x14ac:dyDescent="0.2">
      <c r="B164" s="719"/>
      <c r="C164" s="723"/>
      <c r="D164" s="603" t="s">
        <v>142</v>
      </c>
      <c r="E164" s="602">
        <f>(E162/100*0.25+E163/1*0.25)/E136</f>
        <v>2.4985625000000001E-2</v>
      </c>
      <c r="F164" s="601" t="s">
        <v>107</v>
      </c>
      <c r="G164"/>
      <c r="H164"/>
    </row>
    <row r="165" spans="2:8" ht="16" x14ac:dyDescent="0.2">
      <c r="B165" s="719"/>
      <c r="C165" s="723"/>
      <c r="D165" s="603" t="s">
        <v>143</v>
      </c>
      <c r="E165" s="607">
        <v>16.122</v>
      </c>
      <c r="F165" s="601" t="s">
        <v>97</v>
      </c>
      <c r="G165"/>
      <c r="H165"/>
    </row>
    <row r="166" spans="2:8" ht="16" x14ac:dyDescent="0.2">
      <c r="B166" s="719"/>
      <c r="C166" s="723"/>
      <c r="D166" s="603" t="s">
        <v>144</v>
      </c>
      <c r="E166" s="602">
        <v>1.0109999999999999E-2</v>
      </c>
      <c r="F166" s="601" t="s">
        <v>97</v>
      </c>
      <c r="G166"/>
      <c r="H166"/>
    </row>
    <row r="167" spans="2:8" ht="16" x14ac:dyDescent="0.2">
      <c r="B167" s="720"/>
      <c r="C167" s="722"/>
      <c r="D167" s="603" t="s">
        <v>145</v>
      </c>
      <c r="E167" s="602">
        <f>(E165/100*0.25+E166/1*0.25)/E136</f>
        <v>1.0708125000000001E-2</v>
      </c>
      <c r="F167" s="601" t="s">
        <v>107</v>
      </c>
      <c r="G167"/>
      <c r="H167"/>
    </row>
  </sheetData>
  <mergeCells count="29">
    <mergeCell ref="B76:B79"/>
    <mergeCell ref="F35:F40"/>
    <mergeCell ref="F7:F12"/>
    <mergeCell ref="F14:F19"/>
    <mergeCell ref="B21:B26"/>
    <mergeCell ref="F21:F26"/>
    <mergeCell ref="B28:B33"/>
    <mergeCell ref="F28:F33"/>
    <mergeCell ref="B7:B12"/>
    <mergeCell ref="B14:B19"/>
    <mergeCell ref="B35:B40"/>
    <mergeCell ref="B47:B54"/>
    <mergeCell ref="B56:B59"/>
    <mergeCell ref="B61:B64"/>
    <mergeCell ref="B66:B69"/>
    <mergeCell ref="B71:B74"/>
    <mergeCell ref="B159:B167"/>
    <mergeCell ref="C159:C160"/>
    <mergeCell ref="C162:C167"/>
    <mergeCell ref="B118:B132"/>
    <mergeCell ref="B133:B135"/>
    <mergeCell ref="B137:B151"/>
    <mergeCell ref="C137:C144"/>
    <mergeCell ref="C145:C146"/>
    <mergeCell ref="C147:C151"/>
    <mergeCell ref="B152:B158"/>
    <mergeCell ref="C152:C154"/>
    <mergeCell ref="C155:C156"/>
    <mergeCell ref="C157:C158"/>
  </mergeCells>
  <pageMargins left="0.7" right="0.7" top="0.75" bottom="0.75" header="0.3" footer="0.3"/>
  <pageSetup orientation="portrait" horizontalDpi="4294967293"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7804-17B9-44DD-BDF1-1202E67540EF}">
  <dimension ref="A1:M107"/>
  <sheetViews>
    <sheetView topLeftCell="A12" zoomScale="70" zoomScaleNormal="70" workbookViewId="0">
      <selection activeCell="D37" sqref="D37"/>
    </sheetView>
  </sheetViews>
  <sheetFormatPr baseColWidth="10" defaultColWidth="8.6640625" defaultRowHeight="15" x14ac:dyDescent="0.2"/>
  <cols>
    <col min="1" max="1" width="4.5" style="153" customWidth="1"/>
    <col min="2" max="2" width="31.5" style="153" customWidth="1"/>
    <col min="3" max="3" width="36" style="153" customWidth="1"/>
    <col min="4" max="4" width="48.5" style="153" customWidth="1"/>
    <col min="5" max="5" width="19.5" style="153" customWidth="1"/>
    <col min="6" max="6" width="46.5" style="153" customWidth="1"/>
    <col min="7" max="7" width="61.6640625" style="153" customWidth="1"/>
    <col min="8" max="8" width="51.5" style="153" customWidth="1"/>
    <col min="9" max="9" width="8.6640625" style="153"/>
    <col min="10" max="10" width="26.6640625" style="153" customWidth="1"/>
    <col min="11" max="11" width="8.6640625" style="153"/>
    <col min="12" max="12" width="9.33203125" style="153" bestFit="1" customWidth="1"/>
    <col min="13" max="14" width="8.6640625" style="153"/>
    <col min="15" max="15" width="19.1640625" style="153" bestFit="1" customWidth="1"/>
    <col min="16" max="16384" width="8.6640625" style="153"/>
  </cols>
  <sheetData>
    <row r="1" spans="1:4" ht="16" thickBot="1" x14ac:dyDescent="0.25"/>
    <row r="2" spans="1:4" ht="17" thickBot="1" x14ac:dyDescent="0.25">
      <c r="A2"/>
      <c r="B2" s="524" t="s">
        <v>48</v>
      </c>
      <c r="C2" s="525" t="s">
        <v>49</v>
      </c>
      <c r="D2" s="526"/>
    </row>
    <row r="3" spans="1:4" ht="16" thickBot="1" x14ac:dyDescent="0.25">
      <c r="A3"/>
      <c r="B3" s="526"/>
      <c r="C3" s="526"/>
      <c r="D3" s="526"/>
    </row>
    <row r="4" spans="1:4" ht="16" x14ac:dyDescent="0.2">
      <c r="A4"/>
      <c r="B4" s="735" t="s">
        <v>13</v>
      </c>
      <c r="C4" s="527" t="s">
        <v>50</v>
      </c>
      <c r="D4" s="528">
        <f>E73</f>
        <v>6.2</v>
      </c>
    </row>
    <row r="5" spans="1:4" ht="16" x14ac:dyDescent="0.2">
      <c r="A5"/>
      <c r="B5" s="736"/>
      <c r="C5" s="529" t="s">
        <v>51</v>
      </c>
      <c r="D5" s="530">
        <f>E84/'Master Inputs '!Safety_Index_Range*NSafetyIndex*ReadabilityFactor</f>
        <v>569.91011575644086</v>
      </c>
    </row>
    <row r="6" spans="1:4" ht="16" x14ac:dyDescent="0.2">
      <c r="A6"/>
      <c r="B6" s="736"/>
      <c r="C6" s="529" t="s">
        <v>52</v>
      </c>
      <c r="D6" s="530">
        <f>E99/'Master Inputs '!Reliability_Index_Range*NReliabilityIndex*ReadabilityFactor</f>
        <v>89.032258064516128</v>
      </c>
    </row>
    <row r="7" spans="1:4" ht="16" x14ac:dyDescent="0.2">
      <c r="A7"/>
      <c r="B7" s="736"/>
      <c r="C7" s="529" t="s">
        <v>53</v>
      </c>
      <c r="D7" s="531">
        <f>(E93/'Master Inputs '!Financial_Cost_Range)*NFinancial*ReadabilityFactor</f>
        <v>903.22669515966732</v>
      </c>
    </row>
    <row r="8" spans="1:4" ht="16" x14ac:dyDescent="0.2">
      <c r="A8"/>
      <c r="B8" s="736"/>
      <c r="C8" s="529" t="s">
        <v>54</v>
      </c>
      <c r="D8" s="530">
        <f>SUM(D5:D7)</f>
        <v>1562.1690689806242</v>
      </c>
    </row>
    <row r="9" spans="1:4" ht="17" thickBot="1" x14ac:dyDescent="0.25">
      <c r="A9"/>
      <c r="B9" s="737"/>
      <c r="C9" s="532" t="s">
        <v>55</v>
      </c>
      <c r="D9" s="533">
        <f>D4*D8</f>
        <v>9685.4482276798699</v>
      </c>
    </row>
    <row r="10" spans="1:4" ht="16" thickBot="1" x14ac:dyDescent="0.25">
      <c r="A10"/>
      <c r="B10" s="526"/>
      <c r="C10" s="526"/>
      <c r="D10" s="534"/>
    </row>
    <row r="11" spans="1:4" ht="15" customHeight="1" x14ac:dyDescent="0.2">
      <c r="A11"/>
      <c r="B11" s="735" t="s">
        <v>14</v>
      </c>
      <c r="C11" s="527" t="s">
        <v>50</v>
      </c>
      <c r="D11" s="528">
        <f>E74</f>
        <v>5.8</v>
      </c>
    </row>
    <row r="12" spans="1:4" ht="16" x14ac:dyDescent="0.2">
      <c r="A12"/>
      <c r="B12" s="736"/>
      <c r="C12" s="529" t="s">
        <v>51</v>
      </c>
      <c r="D12" s="530">
        <f>E83/'Master Inputs '!Safety_Index_Range*NSafetyIndex*ReadabilityFactor</f>
        <v>348.02866591505182</v>
      </c>
    </row>
    <row r="13" spans="1:4" ht="16" x14ac:dyDescent="0.2">
      <c r="A13"/>
      <c r="B13" s="736"/>
      <c r="C13" s="529" t="s">
        <v>52</v>
      </c>
      <c r="D13" s="530">
        <f>E100/'Master Inputs '!Reliability_Index_Range*NReliabilityIndex*ReadabilityFactor</f>
        <v>55.517241379310356</v>
      </c>
    </row>
    <row r="14" spans="1:4" ht="16" x14ac:dyDescent="0.2">
      <c r="A14"/>
      <c r="B14" s="736"/>
      <c r="C14" s="529" t="s">
        <v>53</v>
      </c>
      <c r="D14" s="531">
        <f>E94/'Master Inputs '!Financial_Cost_Range*NFinancial*ReadabilityFactor</f>
        <v>551.57606970714232</v>
      </c>
    </row>
    <row r="15" spans="1:4" ht="16" x14ac:dyDescent="0.2">
      <c r="A15"/>
      <c r="B15" s="736"/>
      <c r="C15" s="529" t="s">
        <v>54</v>
      </c>
      <c r="D15" s="530">
        <f>SUM(D12:D14)</f>
        <v>955.12197700150455</v>
      </c>
    </row>
    <row r="16" spans="1:4" ht="17" thickBot="1" x14ac:dyDescent="0.25">
      <c r="A16"/>
      <c r="B16" s="737"/>
      <c r="C16" s="532" t="s">
        <v>55</v>
      </c>
      <c r="D16" s="533">
        <f>D11*D15</f>
        <v>5539.7074666087265</v>
      </c>
    </row>
    <row r="17" spans="1:4" ht="16" thickBot="1" x14ac:dyDescent="0.25">
      <c r="A17"/>
      <c r="B17" s="526"/>
      <c r="C17" s="526"/>
      <c r="D17" s="534"/>
    </row>
    <row r="18" spans="1:4" ht="15" customHeight="1" x14ac:dyDescent="0.2">
      <c r="A18"/>
      <c r="B18" s="735" t="s">
        <v>56</v>
      </c>
      <c r="C18" s="527" t="s">
        <v>50</v>
      </c>
      <c r="D18" s="528">
        <f>E75</f>
        <v>7.2</v>
      </c>
    </row>
    <row r="19" spans="1:4" ht="16" x14ac:dyDescent="0.2">
      <c r="A19"/>
      <c r="B19" s="736"/>
      <c r="C19" s="529" t="s">
        <v>51</v>
      </c>
      <c r="D19" s="535">
        <f>E86/'Master Inputs '!Safety_Index_Range*NSafetyIndex*ReadabilityFactor</f>
        <v>12.22097500038122</v>
      </c>
    </row>
    <row r="20" spans="1:4" ht="16" x14ac:dyDescent="0.2">
      <c r="A20"/>
      <c r="B20" s="736"/>
      <c r="C20" s="529" t="s">
        <v>52</v>
      </c>
      <c r="D20" s="530">
        <f>E101/'Master Inputs '!Reliability_Index_Range*NReliabilityIndex*ReadabilityFactor</f>
        <v>2.875</v>
      </c>
    </row>
    <row r="21" spans="1:4" ht="16" x14ac:dyDescent="0.2">
      <c r="A21"/>
      <c r="B21" s="736"/>
      <c r="C21" s="529" t="s">
        <v>53</v>
      </c>
      <c r="D21" s="530">
        <f>E96/'Master Inputs '!Financial_Cost_Range*NFinancial*ReadabilityFactor</f>
        <v>19.368511903972969</v>
      </c>
    </row>
    <row r="22" spans="1:4" ht="16" x14ac:dyDescent="0.2">
      <c r="A22"/>
      <c r="B22" s="736"/>
      <c r="C22" s="529" t="s">
        <v>54</v>
      </c>
      <c r="D22" s="530">
        <f>SUM(D19:D21)</f>
        <v>34.464486904354189</v>
      </c>
    </row>
    <row r="23" spans="1:4" ht="17" thickBot="1" x14ac:dyDescent="0.25">
      <c r="A23"/>
      <c r="B23" s="737"/>
      <c r="C23" s="532" t="s">
        <v>55</v>
      </c>
      <c r="D23" s="533">
        <f>D18*D22</f>
        <v>248.14430571135017</v>
      </c>
    </row>
    <row r="24" spans="1:4" ht="16" thickBot="1" x14ac:dyDescent="0.25">
      <c r="A24"/>
      <c r="B24" s="526"/>
      <c r="C24" s="526"/>
      <c r="D24" s="526"/>
    </row>
    <row r="25" spans="1:4" ht="16" x14ac:dyDescent="0.2">
      <c r="A25"/>
      <c r="B25" s="735" t="s">
        <v>57</v>
      </c>
      <c r="C25" s="527" t="s">
        <v>50</v>
      </c>
      <c r="D25" s="536">
        <f>D4+D11+D18</f>
        <v>19.2</v>
      </c>
    </row>
    <row r="26" spans="1:4" ht="16" x14ac:dyDescent="0.2">
      <c r="A26"/>
      <c r="B26" s="736"/>
      <c r="C26" s="529" t="s">
        <v>51</v>
      </c>
      <c r="D26" s="530">
        <f>(D5*$D$4+D12*$D$11+D19*$D$18)/($D$4+$D$11+$D$18)</f>
        <v>293.74999999999886</v>
      </c>
    </row>
    <row r="27" spans="1:4" ht="16" x14ac:dyDescent="0.2">
      <c r="A27"/>
      <c r="B27" s="736"/>
      <c r="C27" s="529" t="s">
        <v>52</v>
      </c>
      <c r="D27" s="530">
        <f>(D6*$D$4+D13*$D$11+D20*$D$18)/($D$4+$D$11+$D$18)</f>
        <v>46.598958333333336</v>
      </c>
    </row>
    <row r="28" spans="1:4" ht="16" x14ac:dyDescent="0.2">
      <c r="A28"/>
      <c r="B28" s="736"/>
      <c r="C28" s="529" t="s">
        <v>53</v>
      </c>
      <c r="D28" s="530">
        <f>(D7*$D$4+D14*$D$11+D21*$D$18)/($D$4+$D$11+$D$18)</f>
        <v>465.55208333333167</v>
      </c>
    </row>
    <row r="29" spans="1:4" ht="16" x14ac:dyDescent="0.2">
      <c r="A29"/>
      <c r="B29" s="736"/>
      <c r="C29" s="529" t="s">
        <v>54</v>
      </c>
      <c r="D29" s="530">
        <f>SUM(D26:D28)</f>
        <v>805.90104166666379</v>
      </c>
    </row>
    <row r="30" spans="1:4" ht="17" thickBot="1" x14ac:dyDescent="0.25">
      <c r="A30"/>
      <c r="B30" s="737"/>
      <c r="C30" s="532" t="s">
        <v>55</v>
      </c>
      <c r="D30" s="537">
        <f>D25*D29</f>
        <v>15473.299999999945</v>
      </c>
    </row>
    <row r="31" spans="1:4" ht="16" thickBot="1" x14ac:dyDescent="0.25">
      <c r="A31"/>
      <c r="B31" s="526"/>
      <c r="C31" s="526"/>
      <c r="D31" s="526"/>
    </row>
    <row r="32" spans="1:4" ht="15" customHeight="1" x14ac:dyDescent="0.2">
      <c r="A32"/>
      <c r="B32" s="732" t="s">
        <v>146</v>
      </c>
      <c r="C32" s="666" t="s">
        <v>50</v>
      </c>
      <c r="D32" s="528">
        <v>4</v>
      </c>
    </row>
    <row r="33" spans="1:4" ht="16" x14ac:dyDescent="0.2">
      <c r="A33"/>
      <c r="B33" s="733"/>
      <c r="C33" s="667" t="s">
        <v>51</v>
      </c>
      <c r="D33" s="530">
        <f>E90/'Master Inputs '!Safety_Index_Range*NSafetyIndex*ReadabilityFactor</f>
        <v>9.3302633922890941</v>
      </c>
    </row>
    <row r="34" spans="1:4" ht="16" x14ac:dyDescent="0.2">
      <c r="A34"/>
      <c r="B34" s="733"/>
      <c r="C34" s="667" t="s">
        <v>52</v>
      </c>
      <c r="D34" s="530">
        <f>E103/'Master Inputs '!Reliability_Index_Range*NReliabilityIndex*ReadabilityFactor</f>
        <v>542.57000000000005</v>
      </c>
    </row>
    <row r="35" spans="1:4" ht="16" x14ac:dyDescent="0.2">
      <c r="A35"/>
      <c r="B35" s="733"/>
      <c r="C35" s="667" t="s">
        <v>53</v>
      </c>
      <c r="D35" s="530">
        <f>E97/'Master Inputs '!Financial_Cost_Range*NFinancial*ReadabilityFactor</f>
        <v>439.12951600000002</v>
      </c>
    </row>
    <row r="36" spans="1:4" ht="16" x14ac:dyDescent="0.2">
      <c r="A36"/>
      <c r="B36" s="733"/>
      <c r="C36" s="667" t="s">
        <v>54</v>
      </c>
      <c r="D36" s="530">
        <f>SUM(D33:D35)</f>
        <v>991.02977939228913</v>
      </c>
    </row>
    <row r="37" spans="1:4" ht="17" thickBot="1" x14ac:dyDescent="0.25">
      <c r="A37"/>
      <c r="B37" s="734"/>
      <c r="C37" s="668" t="s">
        <v>55</v>
      </c>
      <c r="D37" s="669">
        <f>D32*D36</f>
        <v>3964.1191175691565</v>
      </c>
    </row>
    <row r="38" spans="1:4" ht="16" thickBot="1" x14ac:dyDescent="0.25">
      <c r="A38"/>
      <c r="B38" s="526"/>
      <c r="C38" s="526"/>
      <c r="D38" s="526"/>
    </row>
    <row r="39" spans="1:4" ht="15" customHeight="1" x14ac:dyDescent="0.2">
      <c r="A39"/>
      <c r="B39" s="732" t="s">
        <v>147</v>
      </c>
      <c r="C39" s="666" t="s">
        <v>50</v>
      </c>
      <c r="D39" s="528">
        <f>E76</f>
        <v>4</v>
      </c>
    </row>
    <row r="40" spans="1:4" ht="16" x14ac:dyDescent="0.2">
      <c r="A40"/>
      <c r="B40" s="733"/>
      <c r="C40" s="667" t="s">
        <v>51</v>
      </c>
      <c r="D40" s="530">
        <f>E91/'Master Inputs '!Safety_Index_Range*NSafetyIndex*ReadabilityFactor</f>
        <v>3.9986843109810399</v>
      </c>
    </row>
    <row r="41" spans="1:4" ht="16" x14ac:dyDescent="0.2">
      <c r="A41"/>
      <c r="B41" s="733"/>
      <c r="C41" s="667" t="s">
        <v>52</v>
      </c>
      <c r="D41" s="530">
        <f>E107/'Master Inputs '!Reliability_Index_Range*NReliabilityIndex*ReadabilityFactor</f>
        <v>246.28687500000001</v>
      </c>
    </row>
    <row r="42" spans="1:4" ht="16" x14ac:dyDescent="0.2">
      <c r="A42"/>
      <c r="B42" s="733"/>
      <c r="C42" s="667" t="s">
        <v>53</v>
      </c>
      <c r="D42" s="670">
        <f>E98/'Master Inputs '!Financial_Cost_Range*NFinancial*ReadabilityFactor</f>
        <v>188.198364</v>
      </c>
    </row>
    <row r="43" spans="1:4" ht="16" x14ac:dyDescent="0.2">
      <c r="A43"/>
      <c r="B43" s="733"/>
      <c r="C43" s="667" t="s">
        <v>54</v>
      </c>
      <c r="D43" s="530">
        <f>SUM(D40:D42)</f>
        <v>438.48392331098103</v>
      </c>
    </row>
    <row r="44" spans="1:4" ht="17" thickBot="1" x14ac:dyDescent="0.25">
      <c r="A44"/>
      <c r="B44" s="734"/>
      <c r="C44" s="668" t="s">
        <v>55</v>
      </c>
      <c r="D44" s="669">
        <f>D39*D43</f>
        <v>1753.9356932439241</v>
      </c>
    </row>
    <row r="45" spans="1:4" ht="16" thickBot="1" x14ac:dyDescent="0.25">
      <c r="A45"/>
      <c r="B45" s="526"/>
      <c r="C45" s="526"/>
      <c r="D45" s="534"/>
    </row>
    <row r="46" spans="1:4" ht="16" x14ac:dyDescent="0.2">
      <c r="A46"/>
      <c r="B46" s="732" t="s">
        <v>148</v>
      </c>
      <c r="C46" s="666" t="s">
        <v>50</v>
      </c>
      <c r="D46" s="536">
        <f>E76</f>
        <v>4</v>
      </c>
    </row>
    <row r="47" spans="1:4" ht="16" x14ac:dyDescent="0.2">
      <c r="A47"/>
      <c r="B47" s="733"/>
      <c r="C47" s="667" t="s">
        <v>51</v>
      </c>
      <c r="D47" s="530">
        <f>D33+D40</f>
        <v>13.328947703270135</v>
      </c>
    </row>
    <row r="48" spans="1:4" ht="16" x14ac:dyDescent="0.2">
      <c r="A48"/>
      <c r="B48" s="733"/>
      <c r="C48" s="667" t="s">
        <v>52</v>
      </c>
      <c r="D48" s="530">
        <f>D34+D41</f>
        <v>788.85687500000006</v>
      </c>
    </row>
    <row r="49" spans="1:13" ht="16" x14ac:dyDescent="0.2">
      <c r="A49"/>
      <c r="B49" s="733"/>
      <c r="C49" s="667" t="s">
        <v>53</v>
      </c>
      <c r="D49" s="530">
        <f>D35+D42</f>
        <v>627.32788000000005</v>
      </c>
      <c r="E49" s="155"/>
      <c r="F49" s="155"/>
    </row>
    <row r="50" spans="1:13" ht="16" x14ac:dyDescent="0.2">
      <c r="A50"/>
      <c r="B50" s="733"/>
      <c r="C50" s="667" t="s">
        <v>54</v>
      </c>
      <c r="D50" s="530">
        <f>SUM(D47:D49)</f>
        <v>1429.5137027032702</v>
      </c>
      <c r="E50" s="155"/>
      <c r="F50" s="155"/>
    </row>
    <row r="51" spans="1:13" ht="17" thickBot="1" x14ac:dyDescent="0.25">
      <c r="A51"/>
      <c r="B51" s="734"/>
      <c r="C51" s="668" t="s">
        <v>55</v>
      </c>
      <c r="D51" s="671">
        <f>D46*D50</f>
        <v>5718.0548108130806</v>
      </c>
      <c r="E51" s="155"/>
      <c r="F51" s="155"/>
    </row>
    <row r="52" spans="1:13" ht="16" thickBot="1" x14ac:dyDescent="0.25">
      <c r="A52"/>
      <c r="B52" s="526"/>
      <c r="C52" s="526"/>
      <c r="D52" s="534"/>
      <c r="E52" s="155"/>
      <c r="F52" s="573"/>
    </row>
    <row r="53" spans="1:13" ht="17" thickBot="1" x14ac:dyDescent="0.25">
      <c r="A53"/>
      <c r="B53" s="538" t="s">
        <v>149</v>
      </c>
      <c r="C53" s="539" t="s">
        <v>55</v>
      </c>
      <c r="D53" s="540">
        <f>D30+D51</f>
        <v>21191.354810813027</v>
      </c>
      <c r="E53" s="155"/>
      <c r="F53" s="155"/>
    </row>
    <row r="54" spans="1:13" x14ac:dyDescent="0.2">
      <c r="B54" s="155"/>
      <c r="C54" s="155"/>
      <c r="D54" s="155"/>
      <c r="E54" s="155"/>
      <c r="F54" s="155"/>
    </row>
    <row r="55" spans="1:13" x14ac:dyDescent="0.2">
      <c r="B55" s="155"/>
      <c r="C55" s="155"/>
      <c r="D55" s="155"/>
      <c r="E55" s="155"/>
      <c r="F55" s="155"/>
    </row>
    <row r="56" spans="1:13" x14ac:dyDescent="0.2">
      <c r="B56" s="155"/>
      <c r="C56" s="155"/>
      <c r="D56" s="155"/>
      <c r="E56" s="155"/>
      <c r="F56" s="155"/>
    </row>
    <row r="57" spans="1:13" x14ac:dyDescent="0.2">
      <c r="B57" s="155"/>
      <c r="C57" s="155"/>
      <c r="D57" s="155"/>
      <c r="E57" s="155"/>
      <c r="F57" s="155"/>
    </row>
    <row r="58" spans="1:13" ht="16" x14ac:dyDescent="0.2">
      <c r="B58" s="516" t="s">
        <v>68</v>
      </c>
      <c r="C58" s="516" t="s">
        <v>90</v>
      </c>
      <c r="D58" s="516" t="s">
        <v>70</v>
      </c>
      <c r="E58" s="516" t="s">
        <v>71</v>
      </c>
      <c r="F58" s="516" t="s">
        <v>72</v>
      </c>
    </row>
    <row r="59" spans="1:13" ht="16" x14ac:dyDescent="0.2">
      <c r="B59" s="723"/>
      <c r="C59" s="517"/>
      <c r="D59" s="600" t="s">
        <v>94</v>
      </c>
      <c r="E59" s="518">
        <v>500000</v>
      </c>
      <c r="F59" s="601" t="s">
        <v>95</v>
      </c>
      <c r="J59" s="575"/>
      <c r="M59" s="574"/>
    </row>
    <row r="60" spans="1:13" ht="16" x14ac:dyDescent="0.2">
      <c r="B60" s="723"/>
      <c r="C60" s="517"/>
      <c r="D60" s="600" t="s">
        <v>96</v>
      </c>
      <c r="E60" s="520">
        <f>1/20</f>
        <v>0.05</v>
      </c>
      <c r="F60" s="601" t="s">
        <v>97</v>
      </c>
    </row>
    <row r="61" spans="1:13" ht="32" x14ac:dyDescent="0.2">
      <c r="B61" s="723"/>
      <c r="C61" s="517"/>
      <c r="D61" s="600" t="s">
        <v>98</v>
      </c>
      <c r="E61" s="602">
        <v>12.6</v>
      </c>
      <c r="F61" s="601" t="s">
        <v>97</v>
      </c>
    </row>
    <row r="62" spans="1:13" ht="32" x14ac:dyDescent="0.2">
      <c r="B62" s="723"/>
      <c r="C62" s="517"/>
      <c r="D62" s="603" t="s">
        <v>99</v>
      </c>
      <c r="E62" s="514">
        <v>0.35790181955803202</v>
      </c>
      <c r="F62" s="601" t="s">
        <v>100</v>
      </c>
    </row>
    <row r="63" spans="1:13" ht="32" x14ac:dyDescent="0.2">
      <c r="B63" s="723"/>
      <c r="C63" s="517"/>
      <c r="D63" s="603" t="s">
        <v>101</v>
      </c>
      <c r="E63" s="514">
        <v>0.62649693576062659</v>
      </c>
      <c r="F63" s="601" t="s">
        <v>100</v>
      </c>
    </row>
    <row r="64" spans="1:13" ht="32" x14ac:dyDescent="0.2">
      <c r="B64" s="723"/>
      <c r="C64" s="517"/>
      <c r="D64" s="600" t="s">
        <v>102</v>
      </c>
      <c r="E64" s="514">
        <v>1.5601244681337726E-2</v>
      </c>
      <c r="F64" s="601" t="s">
        <v>100</v>
      </c>
    </row>
    <row r="65" spans="2:6" ht="16" x14ac:dyDescent="0.2">
      <c r="B65" s="723"/>
      <c r="C65" s="517"/>
      <c r="D65" s="600" t="s">
        <v>103</v>
      </c>
      <c r="E65" s="518">
        <f>+$E$60*$E$59*E62</f>
        <v>8947.5454889508001</v>
      </c>
      <c r="F65" s="601"/>
    </row>
    <row r="66" spans="2:6" ht="16" x14ac:dyDescent="0.2">
      <c r="B66" s="723"/>
      <c r="C66" s="517"/>
      <c r="D66" s="600" t="s">
        <v>104</v>
      </c>
      <c r="E66" s="518">
        <f>+$E$60*$E$59*E63</f>
        <v>15662.423394015665</v>
      </c>
      <c r="F66" s="601"/>
    </row>
    <row r="67" spans="2:6" ht="16" x14ac:dyDescent="0.2">
      <c r="B67" s="723"/>
      <c r="C67" s="517"/>
      <c r="D67" s="600" t="s">
        <v>105</v>
      </c>
      <c r="E67" s="518">
        <f>$E$60*$E$59*E64</f>
        <v>390.03111703344314</v>
      </c>
      <c r="F67" s="601"/>
    </row>
    <row r="68" spans="2:6" ht="16" x14ac:dyDescent="0.2">
      <c r="B68" s="723"/>
      <c r="C68" s="517"/>
      <c r="D68" s="603" t="s">
        <v>106</v>
      </c>
      <c r="E68" s="519">
        <f>E60*(E59*0.00005+E61)</f>
        <v>1.8800000000000001</v>
      </c>
      <c r="F68" s="601" t="s">
        <v>107</v>
      </c>
    </row>
    <row r="69" spans="2:6" ht="16" x14ac:dyDescent="0.2">
      <c r="B69" s="723"/>
      <c r="C69" s="517"/>
      <c r="D69" s="603" t="s">
        <v>108</v>
      </c>
      <c r="E69" s="515">
        <f>1175+591</f>
        <v>1766</v>
      </c>
      <c r="F69" s="601" t="s">
        <v>150</v>
      </c>
    </row>
    <row r="70" spans="2:6" ht="16" x14ac:dyDescent="0.2">
      <c r="B70" s="723"/>
      <c r="C70" s="517"/>
      <c r="D70" s="603" t="s">
        <v>109</v>
      </c>
      <c r="E70" s="515">
        <v>1000000</v>
      </c>
      <c r="F70" s="601" t="s">
        <v>150</v>
      </c>
    </row>
    <row r="71" spans="2:6" ht="16" x14ac:dyDescent="0.2">
      <c r="B71" s="723"/>
      <c r="C71" s="517"/>
      <c r="D71" s="603" t="s">
        <v>110</v>
      </c>
      <c r="E71" s="604">
        <v>8.7500000000000008E-3</v>
      </c>
      <c r="F71" s="601" t="s">
        <v>150</v>
      </c>
    </row>
    <row r="72" spans="2:6" x14ac:dyDescent="0.2">
      <c r="B72" s="722"/>
      <c r="C72" s="517"/>
      <c r="D72" s="517"/>
      <c r="E72" s="517"/>
      <c r="F72" s="605"/>
    </row>
    <row r="73" spans="2:6" ht="16" x14ac:dyDescent="0.2">
      <c r="B73" s="724" t="s">
        <v>111</v>
      </c>
      <c r="C73" s="523" t="s">
        <v>74</v>
      </c>
      <c r="D73" s="600" t="s">
        <v>112</v>
      </c>
      <c r="E73" s="606">
        <f>'Master Inputs '!N37</f>
        <v>6.2</v>
      </c>
      <c r="F73" s="601" t="s">
        <v>113</v>
      </c>
    </row>
    <row r="74" spans="2:6" ht="16" x14ac:dyDescent="0.2">
      <c r="B74" s="724"/>
      <c r="C74" s="523" t="s">
        <v>76</v>
      </c>
      <c r="D74" s="600" t="s">
        <v>112</v>
      </c>
      <c r="E74" s="606">
        <f>'Master Inputs '!N36</f>
        <v>5.8</v>
      </c>
      <c r="F74" s="601" t="s">
        <v>113</v>
      </c>
    </row>
    <row r="75" spans="2:6" ht="16" x14ac:dyDescent="0.2">
      <c r="B75" s="724"/>
      <c r="C75" s="523" t="s">
        <v>114</v>
      </c>
      <c r="D75" s="600" t="s">
        <v>115</v>
      </c>
      <c r="E75" s="606">
        <f>'Master Inputs '!N35</f>
        <v>7.2</v>
      </c>
      <c r="F75" s="601" t="s">
        <v>113</v>
      </c>
    </row>
    <row r="76" spans="2:6" ht="24.75" customHeight="1" x14ac:dyDescent="0.2">
      <c r="B76" s="522" t="s">
        <v>116</v>
      </c>
      <c r="C76" s="615" t="s">
        <v>117</v>
      </c>
      <c r="D76" s="600" t="s">
        <v>115</v>
      </c>
      <c r="E76" s="607">
        <v>4</v>
      </c>
      <c r="F76" s="601" t="s">
        <v>118</v>
      </c>
    </row>
    <row r="77" spans="2:6" x14ac:dyDescent="0.2">
      <c r="B77" s="718" t="s">
        <v>119</v>
      </c>
      <c r="C77" s="721" t="s">
        <v>120</v>
      </c>
      <c r="D77" s="600"/>
      <c r="E77" s="520"/>
      <c r="F77" s="601"/>
    </row>
    <row r="78" spans="2:6" x14ac:dyDescent="0.2">
      <c r="B78" s="719"/>
      <c r="C78" s="723"/>
      <c r="D78" s="600"/>
      <c r="E78" s="602"/>
      <c r="F78" s="601"/>
    </row>
    <row r="79" spans="2:6" x14ac:dyDescent="0.2">
      <c r="B79" s="719"/>
      <c r="C79" s="723"/>
      <c r="D79" s="600"/>
      <c r="E79" s="518"/>
      <c r="F79" s="601"/>
    </row>
    <row r="80" spans="2:6" x14ac:dyDescent="0.2">
      <c r="B80" s="719"/>
      <c r="C80" s="723"/>
      <c r="D80" s="603"/>
      <c r="E80" s="519"/>
      <c r="F80" s="601"/>
    </row>
    <row r="81" spans="2:8" ht="16" x14ac:dyDescent="0.2">
      <c r="B81" s="719"/>
      <c r="C81" s="723"/>
      <c r="D81" s="603" t="s">
        <v>121</v>
      </c>
      <c r="E81" s="513">
        <f>+E62</f>
        <v>0.35790181955803202</v>
      </c>
      <c r="F81" s="601" t="s">
        <v>122</v>
      </c>
    </row>
    <row r="82" spans="2:8" ht="16" x14ac:dyDescent="0.2">
      <c r="B82" s="719"/>
      <c r="C82" s="723"/>
      <c r="D82" s="603" t="s">
        <v>123</v>
      </c>
      <c r="E82" s="513">
        <f>+E63</f>
        <v>0.62649693576062659</v>
      </c>
      <c r="F82" s="601" t="s">
        <v>122</v>
      </c>
    </row>
    <row r="83" spans="2:8" ht="16" x14ac:dyDescent="0.2">
      <c r="B83" s="719"/>
      <c r="C83" s="723"/>
      <c r="D83" s="603" t="s">
        <v>124</v>
      </c>
      <c r="E83" s="604">
        <f>+$E$68*E62/$E$74</f>
        <v>0.11600955530501728</v>
      </c>
      <c r="F83" s="601" t="s">
        <v>107</v>
      </c>
    </row>
    <row r="84" spans="2:8" ht="16" x14ac:dyDescent="0.2">
      <c r="B84" s="719"/>
      <c r="C84" s="722"/>
      <c r="D84" s="603" t="s">
        <v>125</v>
      </c>
      <c r="E84" s="604">
        <f>+$E$68*E63/$E$73</f>
        <v>0.18997003858548031</v>
      </c>
      <c r="F84" s="601" t="s">
        <v>107</v>
      </c>
    </row>
    <row r="85" spans="2:8" x14ac:dyDescent="0.2">
      <c r="B85" s="719"/>
      <c r="C85" s="721" t="s">
        <v>114</v>
      </c>
      <c r="D85" s="603"/>
      <c r="E85" s="513"/>
      <c r="F85" s="601"/>
    </row>
    <row r="86" spans="2:8" ht="16" x14ac:dyDescent="0.2">
      <c r="B86" s="719"/>
      <c r="C86" s="722"/>
      <c r="D86" s="603" t="s">
        <v>126</v>
      </c>
      <c r="E86" s="608">
        <f>+$E$68*E64/$E$75</f>
        <v>4.0736583334604068E-3</v>
      </c>
      <c r="F86" s="601" t="s">
        <v>107</v>
      </c>
    </row>
    <row r="87" spans="2:8" ht="16" x14ac:dyDescent="0.2">
      <c r="B87" s="719"/>
      <c r="C87" s="738" t="s">
        <v>127</v>
      </c>
      <c r="D87" s="600" t="s">
        <v>128</v>
      </c>
      <c r="E87" s="602">
        <v>1.7771930271026849E-2</v>
      </c>
      <c r="F87" s="601" t="s">
        <v>97</v>
      </c>
    </row>
    <row r="88" spans="2:8" ht="16" x14ac:dyDescent="0.2">
      <c r="B88" s="719"/>
      <c r="C88" s="740"/>
      <c r="D88" s="600" t="s">
        <v>123</v>
      </c>
      <c r="E88" s="609">
        <v>0.7</v>
      </c>
      <c r="F88" s="601" t="s">
        <v>97</v>
      </c>
    </row>
    <row r="89" spans="2:8" ht="16" x14ac:dyDescent="0.2">
      <c r="B89" s="719"/>
      <c r="C89" s="740"/>
      <c r="D89" s="600" t="s">
        <v>121</v>
      </c>
      <c r="E89" s="610">
        <v>0.3</v>
      </c>
      <c r="F89" s="601" t="s">
        <v>97</v>
      </c>
    </row>
    <row r="90" spans="2:8" ht="16" x14ac:dyDescent="0.2">
      <c r="B90" s="719"/>
      <c r="C90" s="740"/>
      <c r="D90" s="603" t="s">
        <v>129</v>
      </c>
      <c r="E90" s="611">
        <f>E88*E87/E76</f>
        <v>3.1100877974296983E-3</v>
      </c>
      <c r="F90" s="601" t="s">
        <v>107</v>
      </c>
    </row>
    <row r="91" spans="2:8" ht="16" x14ac:dyDescent="0.2">
      <c r="B91" s="720"/>
      <c r="C91" s="739"/>
      <c r="D91" s="603" t="s">
        <v>130</v>
      </c>
      <c r="E91" s="611">
        <f>E89*E87/E76</f>
        <v>1.3328947703270136E-3</v>
      </c>
      <c r="F91" s="601" t="s">
        <v>107</v>
      </c>
    </row>
    <row r="92" spans="2:8" x14ac:dyDescent="0.2">
      <c r="B92" s="718" t="s">
        <v>131</v>
      </c>
      <c r="C92" s="721" t="s">
        <v>120</v>
      </c>
      <c r="D92" s="603"/>
      <c r="E92" s="612"/>
      <c r="F92" s="601"/>
    </row>
    <row r="93" spans="2:8" ht="32" x14ac:dyDescent="0.2">
      <c r="B93" s="719"/>
      <c r="C93" s="723"/>
      <c r="D93" s="603" t="s">
        <v>132</v>
      </c>
      <c r="E93" s="613">
        <f>($E$70*$E$71*$E$59 + $E$59*$E$69)*$E$60/(E73*1000000)*$E$63</f>
        <v>26.565491034107861</v>
      </c>
      <c r="F93" s="601" t="s">
        <v>107</v>
      </c>
      <c r="H93" s="576">
        <f>(E70*E71*$E$59 + $E$59*$E$69)*$E$60/(E73*1000000)*$E$63</f>
        <v>26.565491034107861</v>
      </c>
    </row>
    <row r="94" spans="2:8" ht="32" x14ac:dyDescent="0.2">
      <c r="B94" s="719"/>
      <c r="C94" s="722"/>
      <c r="D94" s="603" t="s">
        <v>133</v>
      </c>
      <c r="E94" s="613">
        <f>($E$70*$E$71*$E$59 + $E$59*$E$69)*$E$60/(E74*1000000)*$E$62</f>
        <v>16.222825579621833</v>
      </c>
      <c r="F94" s="601" t="s">
        <v>107</v>
      </c>
    </row>
    <row r="95" spans="2:8" x14ac:dyDescent="0.2">
      <c r="B95" s="719"/>
      <c r="C95" s="721" t="s">
        <v>114</v>
      </c>
      <c r="D95" s="603"/>
      <c r="E95" s="613"/>
      <c r="F95" s="601"/>
    </row>
    <row r="96" spans="2:8" ht="16" x14ac:dyDescent="0.2">
      <c r="B96" s="719"/>
      <c r="C96" s="722"/>
      <c r="D96" s="603" t="s">
        <v>134</v>
      </c>
      <c r="E96" s="613">
        <f>($E$70*$E$71*$E$59 + $E$59*$E$69)*$E$60/(E75*1000000)*$E$64</f>
        <v>0.56966211482273443</v>
      </c>
      <c r="F96" s="601" t="s">
        <v>107</v>
      </c>
    </row>
    <row r="97" spans="2:6" ht="32" x14ac:dyDescent="0.2">
      <c r="B97" s="719"/>
      <c r="C97" s="738" t="s">
        <v>127</v>
      </c>
      <c r="D97" s="603" t="s">
        <v>132</v>
      </c>
      <c r="E97" s="614">
        <f>18.45082*E88</f>
        <v>12.915573999999999</v>
      </c>
      <c r="F97" s="601" t="s">
        <v>97</v>
      </c>
    </row>
    <row r="98" spans="2:6" ht="32" x14ac:dyDescent="0.2">
      <c r="B98" s="720"/>
      <c r="C98" s="739"/>
      <c r="D98" s="603" t="s">
        <v>133</v>
      </c>
      <c r="E98" s="614">
        <f>18.45082*E89</f>
        <v>5.5352459999999999</v>
      </c>
      <c r="F98" s="601" t="s">
        <v>97</v>
      </c>
    </row>
    <row r="99" spans="2:6" ht="16" x14ac:dyDescent="0.2">
      <c r="B99" s="718" t="s">
        <v>135</v>
      </c>
      <c r="C99" s="721" t="s">
        <v>120</v>
      </c>
      <c r="D99" s="603" t="s">
        <v>136</v>
      </c>
      <c r="E99" s="608">
        <f>0.024/E73</f>
        <v>3.8709677419354839E-3</v>
      </c>
      <c r="F99" s="601" t="s">
        <v>137</v>
      </c>
    </row>
    <row r="100" spans="2:6" ht="16" x14ac:dyDescent="0.2">
      <c r="B100" s="719"/>
      <c r="C100" s="722"/>
      <c r="D100" s="603" t="s">
        <v>138</v>
      </c>
      <c r="E100" s="608">
        <f>0.014/E74</f>
        <v>2.413793103448276E-3</v>
      </c>
      <c r="F100" s="601" t="s">
        <v>137</v>
      </c>
    </row>
    <row r="101" spans="2:6" ht="16" x14ac:dyDescent="0.2">
      <c r="B101" s="719"/>
      <c r="C101" s="523" t="s">
        <v>114</v>
      </c>
      <c r="D101" s="603" t="s">
        <v>139</v>
      </c>
      <c r="E101" s="608">
        <f>0.0009/E75</f>
        <v>1.25E-4</v>
      </c>
      <c r="F101" s="601" t="s">
        <v>137</v>
      </c>
    </row>
    <row r="102" spans="2:6" ht="16" x14ac:dyDescent="0.2">
      <c r="B102" s="719"/>
      <c r="C102" s="738" t="s">
        <v>127</v>
      </c>
      <c r="D102" s="603" t="s">
        <v>140</v>
      </c>
      <c r="E102" s="614">
        <v>37.618000000000002</v>
      </c>
      <c r="F102" s="601" t="s">
        <v>97</v>
      </c>
    </row>
    <row r="103" spans="2:6" ht="16" x14ac:dyDescent="0.2">
      <c r="B103" s="719"/>
      <c r="C103" s="740"/>
      <c r="D103" s="603" t="s">
        <v>141</v>
      </c>
      <c r="E103" s="607">
        <v>2.359E-2</v>
      </c>
      <c r="F103" s="601" t="s">
        <v>97</v>
      </c>
    </row>
    <row r="104" spans="2:6" ht="16" x14ac:dyDescent="0.2">
      <c r="B104" s="719"/>
      <c r="C104" s="740"/>
      <c r="D104" s="603" t="s">
        <v>142</v>
      </c>
      <c r="E104" s="602">
        <f>(E102/100*0.25+E103/1*0.25)/E76</f>
        <v>2.4985625000000001E-2</v>
      </c>
      <c r="F104" s="601" t="s">
        <v>107</v>
      </c>
    </row>
    <row r="105" spans="2:6" ht="16" x14ac:dyDescent="0.2">
      <c r="B105" s="719"/>
      <c r="C105" s="740"/>
      <c r="D105" s="603" t="s">
        <v>143</v>
      </c>
      <c r="E105" s="607">
        <v>16.122</v>
      </c>
      <c r="F105" s="601" t="s">
        <v>97</v>
      </c>
    </row>
    <row r="106" spans="2:6" ht="16" x14ac:dyDescent="0.2">
      <c r="B106" s="719"/>
      <c r="C106" s="740"/>
      <c r="D106" s="603" t="s">
        <v>144</v>
      </c>
      <c r="E106" s="602">
        <v>1.0109999999999999E-2</v>
      </c>
      <c r="F106" s="601" t="s">
        <v>97</v>
      </c>
    </row>
    <row r="107" spans="2:6" ht="16" x14ac:dyDescent="0.2">
      <c r="B107" s="720"/>
      <c r="C107" s="739"/>
      <c r="D107" s="603" t="s">
        <v>145</v>
      </c>
      <c r="E107" s="602">
        <f>(E105/100*0.25+E106/1*0.25)/E76</f>
        <v>1.0708125000000001E-2</v>
      </c>
      <c r="F107" s="601" t="s">
        <v>107</v>
      </c>
    </row>
  </sheetData>
  <mergeCells count="20">
    <mergeCell ref="B39:B44"/>
    <mergeCell ref="B46:B51"/>
    <mergeCell ref="C97:C98"/>
    <mergeCell ref="B99:B107"/>
    <mergeCell ref="C99:C100"/>
    <mergeCell ref="C102:C107"/>
    <mergeCell ref="B59:B72"/>
    <mergeCell ref="B73:B75"/>
    <mergeCell ref="B77:B91"/>
    <mergeCell ref="C77:C84"/>
    <mergeCell ref="C85:C86"/>
    <mergeCell ref="C87:C91"/>
    <mergeCell ref="B92:B98"/>
    <mergeCell ref="C92:C94"/>
    <mergeCell ref="C95:C96"/>
    <mergeCell ref="B32:B37"/>
    <mergeCell ref="B4:B9"/>
    <mergeCell ref="B11:B16"/>
    <mergeCell ref="B18:B23"/>
    <mergeCell ref="B25:B30"/>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52BE-AF87-494C-B889-0441A6BBB64B}">
  <sheetPr codeName="Sheet2"/>
  <dimension ref="B1:W221"/>
  <sheetViews>
    <sheetView workbookViewId="0">
      <selection activeCell="C23" sqref="C23"/>
    </sheetView>
  </sheetViews>
  <sheetFormatPr baseColWidth="10" defaultColWidth="8.6640625" defaultRowHeight="15" x14ac:dyDescent="0.2"/>
  <cols>
    <col min="1" max="1" width="8.6640625" style="153"/>
    <col min="2" max="2" width="26" style="153" bestFit="1" customWidth="1"/>
    <col min="3" max="4" width="13.6640625" style="153" customWidth="1"/>
    <col min="5" max="5" width="14.5" style="153" customWidth="1"/>
    <col min="6" max="6" width="9.33203125" style="153" bestFit="1" customWidth="1"/>
    <col min="7" max="7" width="8.6640625" style="153"/>
    <col min="8" max="8" width="16.1640625" style="153" bestFit="1" customWidth="1"/>
    <col min="9" max="9" width="18.83203125" style="153" bestFit="1" customWidth="1"/>
    <col min="10" max="11" width="8.6640625" style="153"/>
    <col min="12" max="12" width="11" style="153" customWidth="1"/>
    <col min="13" max="13" width="12.6640625" style="153" customWidth="1"/>
    <col min="14" max="14" width="13" style="153" customWidth="1"/>
    <col min="15" max="17" width="8.6640625" style="153"/>
    <col min="18" max="18" width="21.5" style="153" customWidth="1"/>
    <col min="19" max="16384" width="8.6640625" style="153"/>
  </cols>
  <sheetData>
    <row r="1" spans="2:6" ht="16" thickBot="1" x14ac:dyDescent="0.25"/>
    <row r="2" spans="2:6" ht="16" thickBot="1" x14ac:dyDescent="0.25">
      <c r="B2" s="744" t="s">
        <v>151</v>
      </c>
      <c r="C2" s="744"/>
      <c r="D2" s="745"/>
    </row>
    <row r="4" spans="2:6" x14ac:dyDescent="0.2">
      <c r="B4" s="154" t="s">
        <v>152</v>
      </c>
    </row>
    <row r="5" spans="2:6" x14ac:dyDescent="0.2">
      <c r="B5" s="153" t="s">
        <v>153</v>
      </c>
      <c r="C5" s="354">
        <v>0.03</v>
      </c>
    </row>
    <row r="8" spans="2:6" x14ac:dyDescent="0.2">
      <c r="B8" s="578" t="s">
        <v>154</v>
      </c>
      <c r="C8" s="579"/>
      <c r="D8" s="579"/>
      <c r="E8" s="579"/>
      <c r="F8" s="579"/>
    </row>
    <row r="9" spans="2:6" x14ac:dyDescent="0.2">
      <c r="B9" s="579"/>
      <c r="C9" s="580" t="s">
        <v>155</v>
      </c>
      <c r="D9" s="580" t="s">
        <v>156</v>
      </c>
      <c r="E9" s="579" t="s">
        <v>157</v>
      </c>
      <c r="F9" s="579" t="s">
        <v>158</v>
      </c>
    </row>
    <row r="10" spans="2:6" x14ac:dyDescent="0.2">
      <c r="B10" s="579" t="s">
        <v>159</v>
      </c>
      <c r="C10" s="580">
        <v>20</v>
      </c>
      <c r="D10" s="581">
        <v>0.6</v>
      </c>
      <c r="E10" s="579">
        <v>0.6</v>
      </c>
      <c r="F10" s="582">
        <v>0.6</v>
      </c>
    </row>
    <row r="11" spans="2:6" x14ac:dyDescent="0.2">
      <c r="B11" s="579" t="s">
        <v>160</v>
      </c>
      <c r="C11" s="583">
        <v>1</v>
      </c>
      <c r="D11" s="584">
        <v>0.23</v>
      </c>
      <c r="E11" s="579">
        <v>0.23</v>
      </c>
      <c r="F11" s="585">
        <v>0.23</v>
      </c>
    </row>
    <row r="12" spans="2:6" x14ac:dyDescent="0.2">
      <c r="B12" s="579" t="s">
        <v>161</v>
      </c>
      <c r="C12" s="580">
        <v>500</v>
      </c>
      <c r="D12" s="584">
        <v>0.15</v>
      </c>
      <c r="E12" s="579">
        <v>0.15</v>
      </c>
      <c r="F12" s="585">
        <v>0.17</v>
      </c>
    </row>
    <row r="13" spans="2:6" x14ac:dyDescent="0.2">
      <c r="B13" s="579" t="s">
        <v>162</v>
      </c>
      <c r="C13" s="583">
        <v>0</v>
      </c>
      <c r="D13" s="584">
        <v>0</v>
      </c>
      <c r="E13" s="579">
        <v>0</v>
      </c>
      <c r="F13" s="579"/>
    </row>
    <row r="14" spans="2:6" x14ac:dyDescent="0.2">
      <c r="B14" s="579" t="s">
        <v>163</v>
      </c>
      <c r="C14" s="583">
        <v>100</v>
      </c>
      <c r="D14" s="586">
        <v>0.25</v>
      </c>
      <c r="E14" s="579">
        <v>0.25</v>
      </c>
      <c r="F14" s="579">
        <v>0.25</v>
      </c>
    </row>
    <row r="15" spans="2:6" x14ac:dyDescent="0.2">
      <c r="B15" s="579" t="s">
        <v>164</v>
      </c>
      <c r="C15" s="583">
        <v>1</v>
      </c>
      <c r="D15" s="581">
        <v>0.25</v>
      </c>
      <c r="E15" s="579">
        <v>0.25</v>
      </c>
      <c r="F15" s="579">
        <v>0.25</v>
      </c>
    </row>
    <row r="16" spans="2:6" x14ac:dyDescent="0.2">
      <c r="B16" s="579" t="s">
        <v>165</v>
      </c>
      <c r="C16" s="583">
        <v>250</v>
      </c>
      <c r="D16" s="579"/>
      <c r="E16" s="579"/>
      <c r="F16" s="579"/>
    </row>
    <row r="17" spans="2:19" x14ac:dyDescent="0.2">
      <c r="B17" s="579" t="s">
        <v>166</v>
      </c>
      <c r="C17" s="583">
        <v>100000</v>
      </c>
      <c r="D17" s="579"/>
      <c r="E17" s="579"/>
      <c r="F17" s="579"/>
    </row>
    <row r="18" spans="2:19" x14ac:dyDescent="0.2">
      <c r="B18" s="579" t="s">
        <v>167</v>
      </c>
      <c r="C18" s="583">
        <v>1920</v>
      </c>
      <c r="D18" s="579"/>
      <c r="E18" s="579"/>
      <c r="F18" s="579"/>
    </row>
    <row r="19" spans="2:19" x14ac:dyDescent="0.2">
      <c r="B19" s="579" t="s">
        <v>168</v>
      </c>
      <c r="C19" s="583">
        <v>10000000000</v>
      </c>
      <c r="D19" s="579"/>
      <c r="E19" s="579"/>
      <c r="F19" s="579"/>
    </row>
    <row r="20" spans="2:19" x14ac:dyDescent="0.2">
      <c r="B20" s="579" t="s">
        <v>169</v>
      </c>
      <c r="C20" s="583">
        <v>1491385</v>
      </c>
      <c r="D20" s="579"/>
      <c r="E20" s="579"/>
      <c r="F20" s="579"/>
    </row>
    <row r="22" spans="2:19" x14ac:dyDescent="0.2">
      <c r="B22" s="579"/>
      <c r="C22" s="579" t="s">
        <v>170</v>
      </c>
      <c r="D22" s="579" t="s">
        <v>119</v>
      </c>
      <c r="E22" s="579" t="s">
        <v>135</v>
      </c>
      <c r="F22" s="579" t="s">
        <v>131</v>
      </c>
      <c r="H22" s="542"/>
      <c r="I22" s="542"/>
      <c r="J22" s="542"/>
    </row>
    <row r="23" spans="2:19" x14ac:dyDescent="0.2">
      <c r="B23" s="681" t="s">
        <v>171</v>
      </c>
      <c r="C23" s="579">
        <f>((C18/C19*5)/Safety_Index_Range*NSafetyIndex+((C18/C20/C14*E14)
+(1/C20*E15))*NReliabilityIndex
+(C16/1000000/C12*NFinancial))*C17</f>
        <v>8.9260627738645612E-2</v>
      </c>
      <c r="D23" s="579">
        <f>((C18/C19*5)/C10*NSafetyIndex)*C17</f>
        <v>2.8799999999999993E-3</v>
      </c>
      <c r="E23" s="579">
        <f>((C18/C20/C14*E14)+(1/C20*E15))*NReliabilityIndex*C17</f>
        <v>7.7880627738645625E-2</v>
      </c>
      <c r="F23" s="579">
        <f>(C16/1000000/C12*NFinancial)*C17</f>
        <v>8.5000000000000006E-3</v>
      </c>
      <c r="H23" s="542">
        <f>NSafetyIndex</f>
        <v>0.6</v>
      </c>
      <c r="I23" s="542"/>
      <c r="J23" s="542"/>
    </row>
    <row r="24" spans="2:19" x14ac:dyDescent="0.2">
      <c r="B24" s="681" t="s">
        <v>172</v>
      </c>
      <c r="C24" s="579">
        <f>((C18/C19)/Safety_Index_Range*NSafetyIndex+((C18/C20/C14*E14)
+(1/C20*E15))*NReliabilityIndex
+(C16/1000000/Financial_Cost_Range*NFinancial))*C17</f>
        <v>8.6956627738645625E-2</v>
      </c>
      <c r="D24" s="579">
        <f>((C18/C19)/Safety_Index_Range*NSafetyIndex)*C17</f>
        <v>5.7600000000000001E-4</v>
      </c>
      <c r="E24" s="579">
        <f>(((C18/C20/C14*E14)+(1/C20*E15))*NReliabilityIndex)*C17</f>
        <v>7.7880627738645625E-2</v>
      </c>
      <c r="F24" s="579">
        <f>(C16/1000000/Financial_Cost_Range*NFinancial)*C17</f>
        <v>8.5000000000000006E-3</v>
      </c>
      <c r="H24" s="153">
        <f>'Master Inputs '!Safety_Index_Range</f>
        <v>20</v>
      </c>
    </row>
    <row r="25" spans="2:19" x14ac:dyDescent="0.2">
      <c r="B25" s="681" t="s">
        <v>173</v>
      </c>
      <c r="C25" s="579">
        <f>((C18/C19*20)/Safety_Index_Range*NSafetyIndex+((30*C18/C20/C14*E14)
+(30*1/C20*E15))*F11
+(10*C16/1000000/Financial_Cost_Range*F12))*C17</f>
        <v>2.4329388321593686</v>
      </c>
      <c r="D25" s="579">
        <f>((C18/C19*20)/Safety_Index_Range*NSafetyIndex)*C17</f>
        <v>1.1519999999999997E-2</v>
      </c>
      <c r="E25" s="579">
        <f>(((30*C18/C20/C14*E14)+(30*1/C20*E15))*F11)*C17</f>
        <v>2.3364188321593686</v>
      </c>
      <c r="F25" s="579">
        <f>(10*C16/1000000/Financial_Cost_Range*F12)*C17</f>
        <v>8.5000000000000006E-2</v>
      </c>
    </row>
    <row r="30" spans="2:19" x14ac:dyDescent="0.2">
      <c r="B30" s="682"/>
    </row>
    <row r="32" spans="2:19" x14ac:dyDescent="0.2">
      <c r="C32" s="153" t="s">
        <v>174</v>
      </c>
      <c r="J32" s="153" t="s">
        <v>175</v>
      </c>
      <c r="R32" s="587"/>
      <c r="S32" s="683"/>
    </row>
    <row r="33" spans="2:23" x14ac:dyDescent="0.2">
      <c r="B33" s="579" t="s">
        <v>176</v>
      </c>
      <c r="C33" s="579">
        <v>2017</v>
      </c>
      <c r="D33" s="579">
        <v>2018</v>
      </c>
      <c r="E33" s="579">
        <v>2019</v>
      </c>
      <c r="F33" s="579">
        <v>2020</v>
      </c>
      <c r="G33" s="579">
        <v>2021</v>
      </c>
      <c r="H33" s="681" t="s">
        <v>177</v>
      </c>
      <c r="I33" s="579">
        <v>2017</v>
      </c>
      <c r="J33" s="579">
        <v>2018</v>
      </c>
      <c r="K33" s="579">
        <v>2019</v>
      </c>
      <c r="L33" s="579">
        <v>2020</v>
      </c>
      <c r="M33" s="579">
        <v>2021</v>
      </c>
      <c r="N33" s="579" t="s">
        <v>177</v>
      </c>
      <c r="O33" s="578" t="s">
        <v>178</v>
      </c>
    </row>
    <row r="34" spans="2:23" x14ac:dyDescent="0.2">
      <c r="B34" s="579"/>
      <c r="C34" s="579"/>
      <c r="D34" s="579"/>
      <c r="E34" s="579"/>
      <c r="F34" s="579"/>
      <c r="G34" s="579"/>
      <c r="H34" s="579" t="s">
        <v>179</v>
      </c>
      <c r="I34" s="579"/>
      <c r="J34" s="579"/>
      <c r="K34" s="579"/>
      <c r="L34" s="579"/>
      <c r="M34" s="579"/>
      <c r="N34" s="579" t="s">
        <v>179</v>
      </c>
      <c r="O34" s="579"/>
    </row>
    <row r="35" spans="2:23" x14ac:dyDescent="0.2">
      <c r="B35" s="579" t="s">
        <v>114</v>
      </c>
      <c r="C35" s="579">
        <v>649</v>
      </c>
      <c r="D35" s="579">
        <v>593</v>
      </c>
      <c r="E35" s="579">
        <v>591</v>
      </c>
      <c r="F35" s="579">
        <v>615</v>
      </c>
      <c r="G35" s="579">
        <v>720</v>
      </c>
      <c r="H35" s="579">
        <v>633.6</v>
      </c>
      <c r="I35" s="579">
        <v>8</v>
      </c>
      <c r="J35" s="579">
        <v>11</v>
      </c>
      <c r="K35" s="579">
        <v>6</v>
      </c>
      <c r="L35" s="579">
        <v>6</v>
      </c>
      <c r="M35" s="579">
        <v>5</v>
      </c>
      <c r="N35" s="579">
        <v>7.2</v>
      </c>
      <c r="O35" s="588">
        <f>N35/H35</f>
        <v>1.1363636363636364E-2</v>
      </c>
      <c r="P35" s="684"/>
    </row>
    <row r="36" spans="2:23" x14ac:dyDescent="0.2">
      <c r="B36" s="579" t="s">
        <v>76</v>
      </c>
      <c r="C36" s="579">
        <v>231</v>
      </c>
      <c r="D36" s="579">
        <v>182</v>
      </c>
      <c r="E36" s="579">
        <v>235</v>
      </c>
      <c r="F36" s="579">
        <v>220</v>
      </c>
      <c r="G36" s="579">
        <v>269</v>
      </c>
      <c r="H36" s="579">
        <v>227.4</v>
      </c>
      <c r="I36" s="579">
        <v>6</v>
      </c>
      <c r="J36" s="579">
        <v>5</v>
      </c>
      <c r="K36" s="579">
        <v>7</v>
      </c>
      <c r="L36" s="579">
        <v>6</v>
      </c>
      <c r="M36" s="579">
        <v>5</v>
      </c>
      <c r="N36" s="579">
        <v>5.8</v>
      </c>
      <c r="O36" s="588">
        <f>N36/H36</f>
        <v>2.5505716798592787E-2</v>
      </c>
      <c r="P36" s="684"/>
    </row>
    <row r="37" spans="2:23" x14ac:dyDescent="0.2">
      <c r="B37" s="579" t="s">
        <v>74</v>
      </c>
      <c r="C37" s="579">
        <v>193</v>
      </c>
      <c r="D37" s="579">
        <v>199</v>
      </c>
      <c r="E37" s="579">
        <v>248</v>
      </c>
      <c r="F37" s="579">
        <v>195</v>
      </c>
      <c r="G37" s="579">
        <v>230</v>
      </c>
      <c r="H37" s="579">
        <v>213</v>
      </c>
      <c r="I37" s="579">
        <v>7</v>
      </c>
      <c r="J37" s="579">
        <v>5</v>
      </c>
      <c r="K37" s="579">
        <v>2</v>
      </c>
      <c r="L37" s="579">
        <v>11</v>
      </c>
      <c r="M37" s="579">
        <v>6</v>
      </c>
      <c r="N37" s="579">
        <v>6.2</v>
      </c>
      <c r="O37" s="588">
        <f>N37/H37</f>
        <v>2.9107981220657279E-2</v>
      </c>
      <c r="P37" s="684"/>
      <c r="R37" s="684"/>
    </row>
    <row r="38" spans="2:23" x14ac:dyDescent="0.2">
      <c r="B38" s="579" t="s">
        <v>180</v>
      </c>
      <c r="C38" s="579">
        <v>1073</v>
      </c>
      <c r="D38" s="579">
        <v>974</v>
      </c>
      <c r="E38" s="579">
        <v>1074</v>
      </c>
      <c r="F38" s="579">
        <v>1030</v>
      </c>
      <c r="G38" s="579">
        <v>1219</v>
      </c>
      <c r="H38" s="579">
        <v>1074</v>
      </c>
      <c r="I38" s="579">
        <v>21</v>
      </c>
      <c r="J38" s="579">
        <v>21</v>
      </c>
      <c r="K38" s="579">
        <v>15</v>
      </c>
      <c r="L38" s="579">
        <v>23</v>
      </c>
      <c r="M38" s="579">
        <v>16</v>
      </c>
      <c r="N38" s="579">
        <v>19.2</v>
      </c>
      <c r="O38" s="588">
        <f>N38/H38</f>
        <v>1.7877094972067038E-2</v>
      </c>
      <c r="P38" s="684"/>
    </row>
    <row r="39" spans="2:23" x14ac:dyDescent="0.2">
      <c r="B39" s="579" t="s">
        <v>181</v>
      </c>
      <c r="C39" s="579">
        <v>424</v>
      </c>
      <c r="D39" s="579">
        <v>381</v>
      </c>
      <c r="E39" s="579">
        <v>483</v>
      </c>
      <c r="F39" s="579">
        <v>415</v>
      </c>
      <c r="G39" s="579">
        <v>499</v>
      </c>
      <c r="H39" s="579">
        <v>440.4</v>
      </c>
      <c r="I39" s="579">
        <v>13</v>
      </c>
      <c r="J39" s="579">
        <v>10</v>
      </c>
      <c r="K39" s="579">
        <v>9</v>
      </c>
      <c r="L39" s="579">
        <v>17</v>
      </c>
      <c r="M39" s="579">
        <v>11</v>
      </c>
      <c r="N39" s="579">
        <v>12</v>
      </c>
      <c r="O39" s="588">
        <f>N39/H39</f>
        <v>2.7247956403269755E-2</v>
      </c>
      <c r="P39" s="684"/>
    </row>
    <row r="45" spans="2:23" ht="16" thickBot="1" x14ac:dyDescent="0.25"/>
    <row r="46" spans="2:23" ht="16" thickBot="1" x14ac:dyDescent="0.25">
      <c r="B46" s="63"/>
      <c r="C46"/>
      <c r="D46" s="746" t="s">
        <v>182</v>
      </c>
      <c r="E46" s="747"/>
      <c r="F46" s="747"/>
      <c r="G46" s="747"/>
      <c r="H46" s="747"/>
      <c r="I46" s="748"/>
      <c r="J46" s="746" t="s">
        <v>183</v>
      </c>
      <c r="K46" s="747"/>
      <c r="L46" s="747"/>
      <c r="M46" s="747"/>
      <c r="N46" s="747"/>
      <c r="O46" s="748"/>
      <c r="P46" s="505"/>
      <c r="R46" s="756" t="s">
        <v>184</v>
      </c>
      <c r="S46" s="757"/>
      <c r="T46" s="757"/>
      <c r="U46" s="757"/>
      <c r="V46" s="757"/>
      <c r="W46" s="665"/>
    </row>
    <row r="47" spans="2:23" ht="65" thickBot="1" x14ac:dyDescent="0.25">
      <c r="B47" s="297"/>
      <c r="C47" s="298" t="s">
        <v>120</v>
      </c>
      <c r="D47" s="299">
        <v>2017</v>
      </c>
      <c r="E47" s="299">
        <v>2018</v>
      </c>
      <c r="F47" s="299">
        <v>2019</v>
      </c>
      <c r="G47" s="299">
        <v>2020</v>
      </c>
      <c r="H47" s="299">
        <v>2021</v>
      </c>
      <c r="I47" s="300" t="s">
        <v>185</v>
      </c>
      <c r="J47" s="299">
        <v>2017</v>
      </c>
      <c r="K47" s="299">
        <v>2018</v>
      </c>
      <c r="L47" s="299">
        <v>2019</v>
      </c>
      <c r="M47" s="299">
        <v>2020</v>
      </c>
      <c r="N47" s="299">
        <v>2021</v>
      </c>
      <c r="O47" s="301" t="s">
        <v>186</v>
      </c>
      <c r="P47" s="301"/>
      <c r="R47" s="432" t="s">
        <v>176</v>
      </c>
      <c r="S47" s="433" t="s">
        <v>187</v>
      </c>
      <c r="T47" s="433" t="s">
        <v>188</v>
      </c>
      <c r="U47" s="433" t="s">
        <v>189</v>
      </c>
      <c r="V47" s="434" t="s">
        <v>190</v>
      </c>
    </row>
    <row r="48" spans="2:23" x14ac:dyDescent="0.2">
      <c r="B48" s="302" t="s">
        <v>191</v>
      </c>
      <c r="C48" s="303" t="s">
        <v>180</v>
      </c>
      <c r="D48" s="305">
        <f t="shared" ref="D48:H48" si="0">D52+D56+D60+D64+D68</f>
        <v>400</v>
      </c>
      <c r="E48" s="304">
        <f t="shared" si="0"/>
        <v>358</v>
      </c>
      <c r="F48" s="304">
        <f t="shared" si="0"/>
        <v>368</v>
      </c>
      <c r="G48" s="304">
        <f t="shared" si="0"/>
        <v>365</v>
      </c>
      <c r="H48" s="304">
        <f t="shared" si="0"/>
        <v>408</v>
      </c>
      <c r="I48" s="304">
        <f>AVERAGE(D48:H48)</f>
        <v>379.8</v>
      </c>
      <c r="J48" s="306">
        <f t="shared" ref="J48:N48" si="1">J52+J56+J60+J64+J68</f>
        <v>15</v>
      </c>
      <c r="K48" s="306">
        <f t="shared" si="1"/>
        <v>14</v>
      </c>
      <c r="L48" s="306">
        <f t="shared" si="1"/>
        <v>5</v>
      </c>
      <c r="M48" s="306">
        <f t="shared" si="1"/>
        <v>7</v>
      </c>
      <c r="N48" s="306">
        <f t="shared" si="1"/>
        <v>8</v>
      </c>
      <c r="O48" s="306">
        <f>AVERAGE(J48:M48)</f>
        <v>10.25</v>
      </c>
      <c r="P48" s="341"/>
      <c r="R48" s="435" t="s">
        <v>114</v>
      </c>
      <c r="S48" s="436">
        <v>8.7427144046627811E-3</v>
      </c>
      <c r="T48" s="436">
        <v>0</v>
      </c>
      <c r="U48" s="436">
        <v>1.5652173913043479</v>
      </c>
      <c r="V48" s="437">
        <v>1.8657937806873977E-2</v>
      </c>
    </row>
    <row r="49" spans="2:23" ht="15" customHeight="1" x14ac:dyDescent="0.2">
      <c r="B49" s="741" t="s">
        <v>192</v>
      </c>
      <c r="C49" s="307" t="s">
        <v>114</v>
      </c>
      <c r="D49" s="506">
        <v>48</v>
      </c>
      <c r="E49" s="506">
        <v>22</v>
      </c>
      <c r="F49" s="506">
        <v>21</v>
      </c>
      <c r="G49" s="506">
        <v>25</v>
      </c>
      <c r="H49" s="506">
        <v>31</v>
      </c>
      <c r="I49" s="309">
        <f>AVERAGE(D49:H49)</f>
        <v>29.4</v>
      </c>
      <c r="J49" s="308">
        <v>1</v>
      </c>
      <c r="K49" s="308">
        <v>3</v>
      </c>
      <c r="L49" s="308">
        <v>0</v>
      </c>
      <c r="M49" s="308">
        <v>1</v>
      </c>
      <c r="N49" s="308">
        <v>0</v>
      </c>
      <c r="O49" s="309">
        <f>AVERAGE(J49:N49)</f>
        <v>1</v>
      </c>
      <c r="R49" s="435" t="s">
        <v>76</v>
      </c>
      <c r="S49" s="436">
        <v>3.8880248833592534E-2</v>
      </c>
      <c r="T49" s="436">
        <v>9.0909090909090905E-3</v>
      </c>
      <c r="U49" s="436">
        <v>0.73076923076923073</v>
      </c>
      <c r="V49" s="437">
        <v>4.3282236248872855E-2</v>
      </c>
    </row>
    <row r="50" spans="2:23" ht="15" customHeight="1" x14ac:dyDescent="0.2">
      <c r="B50" s="741"/>
      <c r="C50" s="307" t="s">
        <v>76</v>
      </c>
      <c r="D50" s="506">
        <v>13</v>
      </c>
      <c r="E50" s="506">
        <v>9</v>
      </c>
      <c r="F50" s="506">
        <v>2</v>
      </c>
      <c r="G50" s="506">
        <v>4</v>
      </c>
      <c r="H50" s="506">
        <v>5</v>
      </c>
      <c r="I50" s="309">
        <f t="shared" ref="I50:I113" si="2">AVERAGE(D50:H50)</f>
        <v>6.6</v>
      </c>
      <c r="J50" s="308">
        <v>0</v>
      </c>
      <c r="K50" s="308">
        <v>0</v>
      </c>
      <c r="L50" s="308">
        <v>1</v>
      </c>
      <c r="M50" s="308">
        <v>0</v>
      </c>
      <c r="N50" s="308">
        <v>0</v>
      </c>
      <c r="O50" s="309">
        <f t="shared" ref="O50:O113" si="3">AVERAGE(J50:N50)</f>
        <v>0.2</v>
      </c>
      <c r="R50" s="438" t="s">
        <v>74</v>
      </c>
      <c r="S50" s="439">
        <v>4.4189852700491E-2</v>
      </c>
      <c r="T50" s="440">
        <v>4.7961630695443642E-3</v>
      </c>
      <c r="U50" s="440">
        <v>0.84210526315789469</v>
      </c>
      <c r="V50" s="441">
        <v>4.2979942693409698E-2</v>
      </c>
    </row>
    <row r="51" spans="2:23" ht="15" customHeight="1" x14ac:dyDescent="0.2">
      <c r="B51" s="741"/>
      <c r="C51" s="307" t="s">
        <v>74</v>
      </c>
      <c r="D51" s="506">
        <v>9</v>
      </c>
      <c r="E51" s="506">
        <v>3</v>
      </c>
      <c r="F51" s="507">
        <v>4</v>
      </c>
      <c r="G51" s="506">
        <v>2</v>
      </c>
      <c r="H51" s="506">
        <v>4</v>
      </c>
      <c r="I51" s="309">
        <f t="shared" si="2"/>
        <v>4.4000000000000004</v>
      </c>
      <c r="J51" s="308">
        <v>2</v>
      </c>
      <c r="K51" s="308">
        <v>0</v>
      </c>
      <c r="L51" s="308">
        <v>0</v>
      </c>
      <c r="M51" s="308">
        <v>0</v>
      </c>
      <c r="N51" s="308">
        <v>0</v>
      </c>
      <c r="O51" s="309">
        <f t="shared" si="3"/>
        <v>0.4</v>
      </c>
      <c r="R51" s="442" t="s">
        <v>180</v>
      </c>
      <c r="S51" s="443">
        <v>1.9967177242888403E-2</v>
      </c>
      <c r="T51" s="444">
        <v>4.0349697377269674E-3</v>
      </c>
      <c r="U51" s="444">
        <v>1.0441176470588236</v>
      </c>
      <c r="V51" s="445">
        <v>2.8785261945883708E-2</v>
      </c>
    </row>
    <row r="52" spans="2:23" ht="15" customHeight="1" x14ac:dyDescent="0.2">
      <c r="B52" s="741"/>
      <c r="C52" s="310" t="s">
        <v>180</v>
      </c>
      <c r="D52" s="311">
        <f t="shared" ref="D52:H52" si="4">SUM(D49:D51)</f>
        <v>70</v>
      </c>
      <c r="E52" s="311">
        <f t="shared" si="4"/>
        <v>34</v>
      </c>
      <c r="F52" s="311">
        <f t="shared" si="4"/>
        <v>27</v>
      </c>
      <c r="G52" s="311">
        <f t="shared" si="4"/>
        <v>31</v>
      </c>
      <c r="H52" s="311">
        <f t="shared" si="4"/>
        <v>40</v>
      </c>
      <c r="I52" s="309">
        <f t="shared" si="2"/>
        <v>40.4</v>
      </c>
      <c r="J52" s="311">
        <f t="shared" ref="J52:N52" si="5">SUM(J49:J51)</f>
        <v>3</v>
      </c>
      <c r="K52" s="311">
        <f t="shared" si="5"/>
        <v>3</v>
      </c>
      <c r="L52" s="311">
        <f t="shared" si="5"/>
        <v>1</v>
      </c>
      <c r="M52" s="311">
        <f t="shared" si="5"/>
        <v>1</v>
      </c>
      <c r="N52" s="311">
        <f t="shared" si="5"/>
        <v>0</v>
      </c>
      <c r="O52" s="309">
        <f t="shared" si="3"/>
        <v>1.6</v>
      </c>
      <c r="R52" s="446" t="s">
        <v>181</v>
      </c>
      <c r="S52" s="447">
        <v>4.1467304625199361E-2</v>
      </c>
      <c r="T52" s="436">
        <v>7.0011668611435242E-3</v>
      </c>
      <c r="U52" s="436">
        <v>0.77777777777777779</v>
      </c>
      <c r="V52" s="437">
        <v>4.3135435992578852E-2</v>
      </c>
    </row>
    <row r="53" spans="2:23" ht="15" customHeight="1" x14ac:dyDescent="0.2">
      <c r="B53" s="742" t="s">
        <v>193</v>
      </c>
      <c r="C53" s="307" t="s">
        <v>114</v>
      </c>
      <c r="D53" s="312">
        <v>30</v>
      </c>
      <c r="E53" s="312">
        <v>27</v>
      </c>
      <c r="F53" s="312">
        <v>36</v>
      </c>
      <c r="G53" s="312">
        <v>40</v>
      </c>
      <c r="H53" s="312">
        <v>41</v>
      </c>
      <c r="I53" s="309">
        <f t="shared" si="2"/>
        <v>34.799999999999997</v>
      </c>
      <c r="J53" s="308">
        <v>1</v>
      </c>
      <c r="K53" s="308">
        <v>0</v>
      </c>
      <c r="L53" s="308">
        <v>0</v>
      </c>
      <c r="M53" s="308">
        <v>0</v>
      </c>
      <c r="N53" s="308">
        <v>0</v>
      </c>
      <c r="O53" s="309">
        <f t="shared" si="3"/>
        <v>0.2</v>
      </c>
    </row>
    <row r="54" spans="2:23" x14ac:dyDescent="0.2">
      <c r="B54" s="742"/>
      <c r="C54" s="307" t="s">
        <v>76</v>
      </c>
      <c r="D54" s="312">
        <v>28</v>
      </c>
      <c r="E54" s="312">
        <v>22</v>
      </c>
      <c r="F54" s="312">
        <v>26</v>
      </c>
      <c r="G54" s="312">
        <v>30</v>
      </c>
      <c r="H54" s="312">
        <v>25</v>
      </c>
      <c r="I54" s="309">
        <f t="shared" si="2"/>
        <v>26.2</v>
      </c>
      <c r="J54" s="308">
        <v>0</v>
      </c>
      <c r="K54" s="308">
        <v>0</v>
      </c>
      <c r="L54" s="308">
        <v>1</v>
      </c>
      <c r="M54" s="308">
        <v>0</v>
      </c>
      <c r="N54" s="308">
        <v>2</v>
      </c>
      <c r="O54" s="309">
        <f t="shared" si="3"/>
        <v>0.6</v>
      </c>
    </row>
    <row r="55" spans="2:23" x14ac:dyDescent="0.2">
      <c r="B55" s="742"/>
      <c r="C55" s="307" t="s">
        <v>74</v>
      </c>
      <c r="D55" s="312">
        <v>19</v>
      </c>
      <c r="E55" s="312">
        <v>25</v>
      </c>
      <c r="F55" s="312">
        <v>27</v>
      </c>
      <c r="G55" s="312">
        <v>25</v>
      </c>
      <c r="H55" s="312">
        <v>20</v>
      </c>
      <c r="I55" s="309">
        <f t="shared" si="2"/>
        <v>23.2</v>
      </c>
      <c r="J55" s="308">
        <v>0</v>
      </c>
      <c r="K55" s="308">
        <v>1</v>
      </c>
      <c r="L55" s="308">
        <v>0</v>
      </c>
      <c r="M55" s="308">
        <v>2</v>
      </c>
      <c r="N55" s="308">
        <v>1</v>
      </c>
      <c r="O55" s="309">
        <f t="shared" si="3"/>
        <v>0.8</v>
      </c>
    </row>
    <row r="56" spans="2:23" ht="15" customHeight="1" x14ac:dyDescent="0.2">
      <c r="B56" s="742"/>
      <c r="C56" s="310" t="s">
        <v>180</v>
      </c>
      <c r="D56" s="311">
        <f t="shared" ref="D56:H56" si="6">SUM(D53:D55)</f>
        <v>77</v>
      </c>
      <c r="E56" s="311">
        <f t="shared" si="6"/>
        <v>74</v>
      </c>
      <c r="F56" s="311">
        <f t="shared" si="6"/>
        <v>89</v>
      </c>
      <c r="G56" s="311">
        <f t="shared" si="6"/>
        <v>95</v>
      </c>
      <c r="H56" s="311">
        <f t="shared" si="6"/>
        <v>86</v>
      </c>
      <c r="I56" s="309">
        <f t="shared" si="2"/>
        <v>84.2</v>
      </c>
      <c r="J56" s="311">
        <f t="shared" ref="J56:N56" si="7">SUM(J53:J55)</f>
        <v>1</v>
      </c>
      <c r="K56" s="311">
        <f t="shared" si="7"/>
        <v>1</v>
      </c>
      <c r="L56" s="311">
        <f t="shared" si="7"/>
        <v>1</v>
      </c>
      <c r="M56" s="311">
        <f t="shared" si="7"/>
        <v>2</v>
      </c>
      <c r="N56" s="311">
        <f t="shared" si="7"/>
        <v>3</v>
      </c>
      <c r="O56" s="309">
        <f t="shared" si="3"/>
        <v>1.6</v>
      </c>
      <c r="R56" s="579">
        <f>+J47</f>
        <v>2017</v>
      </c>
      <c r="S56" s="579">
        <f t="shared" ref="S56:V56" si="8">+K47</f>
        <v>2018</v>
      </c>
      <c r="T56" s="579">
        <f t="shared" si="8"/>
        <v>2019</v>
      </c>
      <c r="U56" s="579">
        <f t="shared" si="8"/>
        <v>2020</v>
      </c>
      <c r="V56" s="579">
        <f t="shared" si="8"/>
        <v>2021</v>
      </c>
      <c r="W56" s="681" t="s">
        <v>194</v>
      </c>
    </row>
    <row r="57" spans="2:23" x14ac:dyDescent="0.2">
      <c r="B57" s="742" t="s">
        <v>195</v>
      </c>
      <c r="C57" s="307" t="s">
        <v>114</v>
      </c>
      <c r="D57" s="312">
        <v>109</v>
      </c>
      <c r="E57" s="312">
        <v>96</v>
      </c>
      <c r="F57" s="312">
        <v>79</v>
      </c>
      <c r="G57" s="312">
        <v>94</v>
      </c>
      <c r="H57" s="312">
        <v>124</v>
      </c>
      <c r="I57" s="309">
        <f t="shared" si="2"/>
        <v>100.4</v>
      </c>
      <c r="J57" s="308">
        <v>3</v>
      </c>
      <c r="K57" s="308">
        <v>3</v>
      </c>
      <c r="L57" s="308">
        <v>0</v>
      </c>
      <c r="M57" s="308">
        <v>1</v>
      </c>
      <c r="N57" s="308">
        <v>2</v>
      </c>
      <c r="O57" s="309">
        <f t="shared" si="3"/>
        <v>1.8</v>
      </c>
      <c r="R57" s="579">
        <f>+J48</f>
        <v>15</v>
      </c>
      <c r="S57" s="579">
        <f t="shared" ref="S57:V57" si="9">+K48</f>
        <v>14</v>
      </c>
      <c r="T57" s="579">
        <f t="shared" si="9"/>
        <v>5</v>
      </c>
      <c r="U57" s="579">
        <f t="shared" si="9"/>
        <v>7</v>
      </c>
      <c r="V57" s="579">
        <f t="shared" si="9"/>
        <v>8</v>
      </c>
      <c r="W57" s="579">
        <f>AVERAGE(R57:V57)</f>
        <v>9.8000000000000007</v>
      </c>
    </row>
    <row r="58" spans="2:23" x14ac:dyDescent="0.2">
      <c r="B58" s="742"/>
      <c r="C58" s="307" t="s">
        <v>76</v>
      </c>
      <c r="D58" s="312">
        <v>8</v>
      </c>
      <c r="E58" s="312">
        <v>8</v>
      </c>
      <c r="F58" s="312">
        <v>7</v>
      </c>
      <c r="G58" s="312">
        <v>14</v>
      </c>
      <c r="H58" s="312">
        <v>10</v>
      </c>
      <c r="I58" s="309">
        <f t="shared" si="2"/>
        <v>9.4</v>
      </c>
      <c r="J58" s="308">
        <v>1</v>
      </c>
      <c r="K58" s="308">
        <v>2</v>
      </c>
      <c r="L58" s="308">
        <v>0</v>
      </c>
      <c r="M58" s="308">
        <v>1</v>
      </c>
      <c r="N58" s="308">
        <v>1</v>
      </c>
      <c r="O58" s="309">
        <f t="shared" si="3"/>
        <v>1</v>
      </c>
      <c r="R58" s="579">
        <f>+J69</f>
        <v>4</v>
      </c>
      <c r="S58" s="579">
        <f t="shared" ref="S58:V58" si="10">+K69</f>
        <v>6</v>
      </c>
      <c r="T58" s="579">
        <f t="shared" si="10"/>
        <v>8</v>
      </c>
      <c r="U58" s="579">
        <f t="shared" si="10"/>
        <v>16</v>
      </c>
      <c r="V58" s="579">
        <f t="shared" si="10"/>
        <v>7</v>
      </c>
      <c r="W58" s="579">
        <f t="shared" ref="W58" si="11">AVERAGE(R58:V58)</f>
        <v>8.1999999999999993</v>
      </c>
    </row>
    <row r="59" spans="2:23" x14ac:dyDescent="0.2">
      <c r="B59" s="742"/>
      <c r="C59" s="307" t="s">
        <v>74</v>
      </c>
      <c r="D59" s="312">
        <v>3</v>
      </c>
      <c r="E59" s="312">
        <v>8</v>
      </c>
      <c r="F59" s="312">
        <v>7</v>
      </c>
      <c r="G59" s="312">
        <v>3</v>
      </c>
      <c r="H59" s="312">
        <v>1</v>
      </c>
      <c r="I59" s="309">
        <f t="shared" si="2"/>
        <v>4.4000000000000004</v>
      </c>
      <c r="J59" s="308">
        <v>1</v>
      </c>
      <c r="K59" s="308">
        <v>3</v>
      </c>
      <c r="L59" s="308">
        <v>0</v>
      </c>
      <c r="M59" s="308">
        <v>0</v>
      </c>
      <c r="N59" s="308">
        <v>0</v>
      </c>
      <c r="O59" s="309">
        <f t="shared" si="3"/>
        <v>0.8</v>
      </c>
      <c r="R59" s="579">
        <f>+SUM(R57:R58)</f>
        <v>19</v>
      </c>
      <c r="S59" s="579">
        <f t="shared" ref="S59:V59" si="12">+SUM(S57:S58)</f>
        <v>20</v>
      </c>
      <c r="T59" s="579">
        <f t="shared" si="12"/>
        <v>13</v>
      </c>
      <c r="U59" s="579">
        <f t="shared" si="12"/>
        <v>23</v>
      </c>
      <c r="V59" s="579">
        <f t="shared" si="12"/>
        <v>15</v>
      </c>
      <c r="W59" s="579">
        <f>AVERAGE(R59:V59)</f>
        <v>18</v>
      </c>
    </row>
    <row r="60" spans="2:23" x14ac:dyDescent="0.2">
      <c r="B60" s="742"/>
      <c r="C60" s="310" t="s">
        <v>180</v>
      </c>
      <c r="D60" s="311">
        <f t="shared" ref="D60:H60" si="13">SUM(D57:D59)</f>
        <v>120</v>
      </c>
      <c r="E60" s="311">
        <f t="shared" si="13"/>
        <v>112</v>
      </c>
      <c r="F60" s="311">
        <f t="shared" si="13"/>
        <v>93</v>
      </c>
      <c r="G60" s="311">
        <f t="shared" si="13"/>
        <v>111</v>
      </c>
      <c r="H60" s="311">
        <f t="shared" si="13"/>
        <v>135</v>
      </c>
      <c r="I60" s="309">
        <f t="shared" si="2"/>
        <v>114.2</v>
      </c>
      <c r="J60" s="311">
        <f t="shared" ref="J60:N60" si="14">SUM(J57:J59)</f>
        <v>5</v>
      </c>
      <c r="K60" s="311">
        <f t="shared" si="14"/>
        <v>8</v>
      </c>
      <c r="L60" s="311">
        <f t="shared" si="14"/>
        <v>0</v>
      </c>
      <c r="M60" s="311">
        <f t="shared" si="14"/>
        <v>2</v>
      </c>
      <c r="N60" s="311">
        <f t="shared" si="14"/>
        <v>3</v>
      </c>
      <c r="O60" s="309">
        <f t="shared" si="3"/>
        <v>3.6</v>
      </c>
    </row>
    <row r="61" spans="2:23" ht="15" customHeight="1" x14ac:dyDescent="0.2">
      <c r="B61" s="742" t="s">
        <v>196</v>
      </c>
      <c r="C61" s="307" t="s">
        <v>114</v>
      </c>
      <c r="D61" s="312">
        <v>59</v>
      </c>
      <c r="E61" s="312">
        <v>60</v>
      </c>
      <c r="F61" s="312">
        <v>67</v>
      </c>
      <c r="G61" s="312">
        <v>66</v>
      </c>
      <c r="H61" s="312">
        <v>62</v>
      </c>
      <c r="I61" s="309">
        <f t="shared" si="2"/>
        <v>62.8</v>
      </c>
      <c r="J61" s="308">
        <v>1</v>
      </c>
      <c r="K61" s="308">
        <v>0</v>
      </c>
      <c r="L61" s="308">
        <v>1</v>
      </c>
      <c r="M61" s="308">
        <v>0</v>
      </c>
      <c r="N61" s="308">
        <v>0</v>
      </c>
      <c r="O61" s="309">
        <f t="shared" si="3"/>
        <v>0.4</v>
      </c>
    </row>
    <row r="62" spans="2:23" ht="15" customHeight="1" x14ac:dyDescent="0.2">
      <c r="B62" s="742"/>
      <c r="C62" s="307" t="s">
        <v>76</v>
      </c>
      <c r="D62" s="312">
        <v>24</v>
      </c>
      <c r="E62" s="312">
        <v>26</v>
      </c>
      <c r="F62" s="312">
        <v>23</v>
      </c>
      <c r="G62" s="312">
        <v>27</v>
      </c>
      <c r="H62" s="312">
        <v>39</v>
      </c>
      <c r="I62" s="309">
        <f t="shared" si="2"/>
        <v>27.8</v>
      </c>
      <c r="J62" s="308">
        <v>2</v>
      </c>
      <c r="K62" s="308">
        <v>1</v>
      </c>
      <c r="L62" s="308">
        <v>2</v>
      </c>
      <c r="M62" s="308">
        <v>1</v>
      </c>
      <c r="N62" s="308">
        <v>0</v>
      </c>
      <c r="O62" s="309">
        <f t="shared" si="3"/>
        <v>1.2</v>
      </c>
    </row>
    <row r="63" spans="2:23" ht="15" customHeight="1" x14ac:dyDescent="0.2">
      <c r="B63" s="742"/>
      <c r="C63" s="307" t="s">
        <v>74</v>
      </c>
      <c r="D63" s="312">
        <v>10</v>
      </c>
      <c r="E63" s="312">
        <v>13</v>
      </c>
      <c r="F63" s="312">
        <v>10</v>
      </c>
      <c r="G63" s="312">
        <v>14</v>
      </c>
      <c r="H63" s="312">
        <v>19</v>
      </c>
      <c r="I63" s="309">
        <f t="shared" si="2"/>
        <v>13.2</v>
      </c>
      <c r="J63" s="308">
        <v>1</v>
      </c>
      <c r="K63" s="308">
        <v>0</v>
      </c>
      <c r="L63" s="308">
        <v>0</v>
      </c>
      <c r="M63" s="308">
        <v>1</v>
      </c>
      <c r="N63" s="308">
        <v>0</v>
      </c>
      <c r="O63" s="309">
        <f t="shared" si="3"/>
        <v>0.4</v>
      </c>
    </row>
    <row r="64" spans="2:23" x14ac:dyDescent="0.2">
      <c r="B64" s="742"/>
      <c r="C64" s="310" t="s">
        <v>180</v>
      </c>
      <c r="D64" s="311">
        <f t="shared" ref="D64:H64" si="15">SUM(D61:D63)</f>
        <v>93</v>
      </c>
      <c r="E64" s="311">
        <f t="shared" si="15"/>
        <v>99</v>
      </c>
      <c r="F64" s="311">
        <f t="shared" si="15"/>
        <v>100</v>
      </c>
      <c r="G64" s="311">
        <f t="shared" si="15"/>
        <v>107</v>
      </c>
      <c r="H64" s="311">
        <f t="shared" si="15"/>
        <v>120</v>
      </c>
      <c r="I64" s="309">
        <f t="shared" si="2"/>
        <v>103.8</v>
      </c>
      <c r="J64" s="311">
        <f t="shared" ref="J64:N64" si="16">SUM(J61:J63)</f>
        <v>4</v>
      </c>
      <c r="K64" s="311">
        <f t="shared" si="16"/>
        <v>1</v>
      </c>
      <c r="L64" s="311">
        <f t="shared" si="16"/>
        <v>3</v>
      </c>
      <c r="M64" s="311">
        <f t="shared" si="16"/>
        <v>2</v>
      </c>
      <c r="N64" s="311">
        <f t="shared" si="16"/>
        <v>0</v>
      </c>
      <c r="O64" s="309">
        <f t="shared" si="3"/>
        <v>2</v>
      </c>
    </row>
    <row r="65" spans="2:15" ht="15" customHeight="1" x14ac:dyDescent="0.2">
      <c r="B65" s="742" t="s">
        <v>197</v>
      </c>
      <c r="C65" s="307" t="s">
        <v>114</v>
      </c>
      <c r="D65" s="312">
        <v>30</v>
      </c>
      <c r="E65" s="312">
        <v>28</v>
      </c>
      <c r="F65" s="312">
        <v>32</v>
      </c>
      <c r="G65" s="312">
        <v>14</v>
      </c>
      <c r="H65" s="312">
        <v>14</v>
      </c>
      <c r="I65" s="309">
        <f t="shared" si="2"/>
        <v>23.6</v>
      </c>
      <c r="J65" s="308">
        <v>0</v>
      </c>
      <c r="K65" s="308">
        <v>1</v>
      </c>
      <c r="L65" s="308">
        <v>0</v>
      </c>
      <c r="M65" s="308">
        <v>0</v>
      </c>
      <c r="N65" s="308">
        <v>0</v>
      </c>
      <c r="O65" s="309">
        <f t="shared" si="3"/>
        <v>0.2</v>
      </c>
    </row>
    <row r="66" spans="2:15" ht="15" customHeight="1" x14ac:dyDescent="0.2">
      <c r="B66" s="742"/>
      <c r="C66" s="307" t="s">
        <v>76</v>
      </c>
      <c r="D66" s="312">
        <v>7</v>
      </c>
      <c r="E66" s="312">
        <v>7</v>
      </c>
      <c r="F66" s="312">
        <v>17</v>
      </c>
      <c r="G66" s="312">
        <v>5</v>
      </c>
      <c r="H66" s="312">
        <v>7</v>
      </c>
      <c r="I66" s="309">
        <f t="shared" si="2"/>
        <v>8.6</v>
      </c>
      <c r="J66" s="314">
        <v>1</v>
      </c>
      <c r="K66" s="314">
        <v>0</v>
      </c>
      <c r="L66" s="314">
        <v>0</v>
      </c>
      <c r="M66" s="314">
        <v>0</v>
      </c>
      <c r="N66" s="314">
        <v>1</v>
      </c>
      <c r="O66" s="309">
        <f t="shared" si="3"/>
        <v>0.4</v>
      </c>
    </row>
    <row r="67" spans="2:15" ht="15" customHeight="1" x14ac:dyDescent="0.2">
      <c r="B67" s="742"/>
      <c r="C67" s="307" t="s">
        <v>74</v>
      </c>
      <c r="D67" s="312">
        <v>3</v>
      </c>
      <c r="E67" s="312">
        <v>4</v>
      </c>
      <c r="F67" s="312">
        <v>10</v>
      </c>
      <c r="G67" s="312">
        <v>2</v>
      </c>
      <c r="H67" s="312">
        <v>6</v>
      </c>
      <c r="I67" s="309">
        <f t="shared" si="2"/>
        <v>5</v>
      </c>
      <c r="J67" s="314">
        <v>1</v>
      </c>
      <c r="K67" s="314">
        <v>0</v>
      </c>
      <c r="L67" s="314">
        <v>0</v>
      </c>
      <c r="M67" s="314">
        <v>0</v>
      </c>
      <c r="N67" s="314">
        <v>1</v>
      </c>
      <c r="O67" s="309">
        <f t="shared" si="3"/>
        <v>0.4</v>
      </c>
    </row>
    <row r="68" spans="2:15" ht="15" customHeight="1" x14ac:dyDescent="0.2">
      <c r="B68" s="742"/>
      <c r="C68" s="315" t="s">
        <v>180</v>
      </c>
      <c r="D68" s="316">
        <f t="shared" ref="D68:H68" si="17">SUM(D65:D67)</f>
        <v>40</v>
      </c>
      <c r="E68" s="316">
        <f t="shared" si="17"/>
        <v>39</v>
      </c>
      <c r="F68" s="316">
        <f t="shared" si="17"/>
        <v>59</v>
      </c>
      <c r="G68" s="316">
        <f t="shared" si="17"/>
        <v>21</v>
      </c>
      <c r="H68" s="316">
        <f t="shared" si="17"/>
        <v>27</v>
      </c>
      <c r="I68" s="309">
        <f t="shared" si="2"/>
        <v>37.200000000000003</v>
      </c>
      <c r="J68" s="311">
        <f t="shared" ref="J68:N68" si="18">SUM(J65:J67)</f>
        <v>2</v>
      </c>
      <c r="K68" s="311">
        <f t="shared" si="18"/>
        <v>1</v>
      </c>
      <c r="L68" s="311">
        <f t="shared" si="18"/>
        <v>0</v>
      </c>
      <c r="M68" s="311">
        <f t="shared" si="18"/>
        <v>0</v>
      </c>
      <c r="N68" s="311">
        <f t="shared" si="18"/>
        <v>2</v>
      </c>
      <c r="O68" s="309">
        <f t="shared" si="3"/>
        <v>1</v>
      </c>
    </row>
    <row r="69" spans="2:15" ht="15" customHeight="1" x14ac:dyDescent="0.2">
      <c r="B69" s="317" t="s">
        <v>198</v>
      </c>
      <c r="C69" s="318" t="s">
        <v>180</v>
      </c>
      <c r="D69" s="508">
        <f t="shared" ref="D69:G69" si="19">SUM(D73,D77,D81,D85,D89,D93,D97,D101,D105,D109,D113,D117,D121,D125,D129)</f>
        <v>349</v>
      </c>
      <c r="E69" s="508">
        <f t="shared" si="19"/>
        <v>352</v>
      </c>
      <c r="F69" s="508">
        <f t="shared" si="19"/>
        <v>425</v>
      </c>
      <c r="G69" s="508">
        <f t="shared" si="19"/>
        <v>359</v>
      </c>
      <c r="H69" s="508"/>
      <c r="I69" s="309">
        <f t="shared" si="2"/>
        <v>371.25</v>
      </c>
      <c r="J69" s="508">
        <f t="shared" ref="J69:N69" si="20">SUM(J73,J77,J81,J85,J89,J93,J97,J101,J105,J109,J113,J117,J121,J125,J129)</f>
        <v>4</v>
      </c>
      <c r="K69" s="508">
        <f t="shared" si="20"/>
        <v>6</v>
      </c>
      <c r="L69" s="508">
        <f t="shared" si="20"/>
        <v>8</v>
      </c>
      <c r="M69" s="508">
        <f t="shared" si="20"/>
        <v>16</v>
      </c>
      <c r="N69" s="508">
        <f t="shared" si="20"/>
        <v>7</v>
      </c>
      <c r="O69" s="309">
        <f t="shared" si="3"/>
        <v>8.1999999999999993</v>
      </c>
    </row>
    <row r="70" spans="2:15" ht="15" customHeight="1" x14ac:dyDescent="0.2">
      <c r="B70" s="741" t="s">
        <v>199</v>
      </c>
      <c r="C70" s="307" t="s">
        <v>114</v>
      </c>
      <c r="D70" s="312">
        <v>2</v>
      </c>
      <c r="E70" s="312">
        <v>10</v>
      </c>
      <c r="F70" s="312">
        <v>11</v>
      </c>
      <c r="G70" s="312">
        <v>11</v>
      </c>
      <c r="H70" s="312">
        <v>12</v>
      </c>
      <c r="I70" s="309">
        <f t="shared" si="2"/>
        <v>9.1999999999999993</v>
      </c>
      <c r="J70" s="312">
        <v>0</v>
      </c>
      <c r="K70" s="312">
        <v>0</v>
      </c>
      <c r="L70" s="312">
        <v>0</v>
      </c>
      <c r="M70" s="312">
        <v>0</v>
      </c>
      <c r="N70" s="312">
        <v>1</v>
      </c>
      <c r="O70" s="309">
        <f t="shared" si="3"/>
        <v>0.2</v>
      </c>
    </row>
    <row r="71" spans="2:15" ht="15" customHeight="1" x14ac:dyDescent="0.2">
      <c r="B71" s="741"/>
      <c r="C71" s="307" t="s">
        <v>76</v>
      </c>
      <c r="D71" s="312">
        <v>1</v>
      </c>
      <c r="E71" s="312">
        <v>0</v>
      </c>
      <c r="F71" s="312">
        <v>1</v>
      </c>
      <c r="G71" s="312">
        <v>0</v>
      </c>
      <c r="H71" s="312">
        <v>3</v>
      </c>
      <c r="I71" s="309">
        <f t="shared" si="2"/>
        <v>1</v>
      </c>
      <c r="J71" s="312">
        <v>0</v>
      </c>
      <c r="K71" s="312">
        <v>0</v>
      </c>
      <c r="L71" s="312">
        <v>0</v>
      </c>
      <c r="M71" s="312">
        <v>0</v>
      </c>
      <c r="N71" s="312">
        <v>0</v>
      </c>
      <c r="O71" s="309">
        <f t="shared" si="3"/>
        <v>0</v>
      </c>
    </row>
    <row r="72" spans="2:15" ht="15" customHeight="1" x14ac:dyDescent="0.2">
      <c r="B72" s="741"/>
      <c r="C72" s="307" t="s">
        <v>74</v>
      </c>
      <c r="D72" s="312">
        <v>0</v>
      </c>
      <c r="E72" s="312">
        <v>1</v>
      </c>
      <c r="F72" s="312">
        <v>0</v>
      </c>
      <c r="G72" s="312">
        <v>0</v>
      </c>
      <c r="H72" s="312">
        <v>0</v>
      </c>
      <c r="I72" s="309">
        <f t="shared" si="2"/>
        <v>0.2</v>
      </c>
      <c r="J72" s="312">
        <v>0</v>
      </c>
      <c r="K72" s="312">
        <v>0</v>
      </c>
      <c r="L72" s="312">
        <v>0</v>
      </c>
      <c r="M72" s="312">
        <v>1</v>
      </c>
      <c r="N72" s="312">
        <v>0</v>
      </c>
      <c r="O72" s="309">
        <f t="shared" si="3"/>
        <v>0.2</v>
      </c>
    </row>
    <row r="73" spans="2:15" ht="15" customHeight="1" x14ac:dyDescent="0.2">
      <c r="B73" s="741"/>
      <c r="C73" s="310" t="s">
        <v>180</v>
      </c>
      <c r="D73" s="311">
        <f t="shared" ref="D73:H73" si="21">SUM(D70:D72)</f>
        <v>3</v>
      </c>
      <c r="E73" s="311">
        <f t="shared" si="21"/>
        <v>11</v>
      </c>
      <c r="F73" s="311">
        <f t="shared" si="21"/>
        <v>12</v>
      </c>
      <c r="G73" s="311">
        <f t="shared" si="21"/>
        <v>11</v>
      </c>
      <c r="H73" s="311">
        <f t="shared" si="21"/>
        <v>15</v>
      </c>
      <c r="I73" s="309">
        <f t="shared" si="2"/>
        <v>10.4</v>
      </c>
      <c r="J73" s="311">
        <f t="shared" ref="J73:N73" si="22">SUM(J70:J72)</f>
        <v>0</v>
      </c>
      <c r="K73" s="311">
        <f t="shared" si="22"/>
        <v>0</v>
      </c>
      <c r="L73" s="311">
        <f t="shared" si="22"/>
        <v>0</v>
      </c>
      <c r="M73" s="311">
        <f t="shared" si="22"/>
        <v>1</v>
      </c>
      <c r="N73" s="311">
        <f t="shared" si="22"/>
        <v>1</v>
      </c>
      <c r="O73" s="309">
        <f t="shared" si="3"/>
        <v>0.4</v>
      </c>
    </row>
    <row r="74" spans="2:15" ht="15" customHeight="1" x14ac:dyDescent="0.2">
      <c r="B74" s="742" t="s">
        <v>200</v>
      </c>
      <c r="C74" s="307" t="s">
        <v>114</v>
      </c>
      <c r="D74" s="312">
        <v>40</v>
      </c>
      <c r="E74" s="312">
        <v>30</v>
      </c>
      <c r="F74" s="312">
        <v>21</v>
      </c>
      <c r="G74" s="312">
        <v>14</v>
      </c>
      <c r="H74" s="312">
        <v>32</v>
      </c>
      <c r="I74" s="309">
        <f t="shared" si="2"/>
        <v>27.4</v>
      </c>
      <c r="J74" s="308">
        <v>0</v>
      </c>
      <c r="K74" s="308">
        <v>0</v>
      </c>
      <c r="L74" s="308">
        <v>0</v>
      </c>
      <c r="M74" s="308">
        <v>0</v>
      </c>
      <c r="N74" s="308">
        <v>1</v>
      </c>
      <c r="O74" s="309">
        <f t="shared" si="3"/>
        <v>0.2</v>
      </c>
    </row>
    <row r="75" spans="2:15" ht="15" customHeight="1" x14ac:dyDescent="0.2">
      <c r="B75" s="742"/>
      <c r="C75" s="307" t="s">
        <v>76</v>
      </c>
      <c r="D75" s="312">
        <v>15</v>
      </c>
      <c r="E75" s="312">
        <v>7</v>
      </c>
      <c r="F75" s="312">
        <v>13</v>
      </c>
      <c r="G75" s="312">
        <v>8</v>
      </c>
      <c r="H75" s="312">
        <v>12</v>
      </c>
      <c r="I75" s="309">
        <f t="shared" si="2"/>
        <v>11</v>
      </c>
      <c r="J75" s="308">
        <v>0</v>
      </c>
      <c r="K75" s="308">
        <v>0</v>
      </c>
      <c r="L75" s="308">
        <v>0</v>
      </c>
      <c r="M75" s="308">
        <v>0</v>
      </c>
      <c r="N75" s="308">
        <v>0</v>
      </c>
      <c r="O75" s="309">
        <f t="shared" si="3"/>
        <v>0</v>
      </c>
    </row>
    <row r="76" spans="2:15" ht="15" customHeight="1" x14ac:dyDescent="0.2">
      <c r="B76" s="742"/>
      <c r="C76" s="307" t="s">
        <v>74</v>
      </c>
      <c r="D76" s="312">
        <v>16</v>
      </c>
      <c r="E76" s="312">
        <v>7</v>
      </c>
      <c r="F76" s="312">
        <v>18</v>
      </c>
      <c r="G76" s="312">
        <v>10</v>
      </c>
      <c r="H76" s="312">
        <v>21</v>
      </c>
      <c r="I76" s="309">
        <f t="shared" si="2"/>
        <v>14.4</v>
      </c>
      <c r="J76" s="308">
        <v>1</v>
      </c>
      <c r="K76" s="308">
        <v>0</v>
      </c>
      <c r="L76" s="308">
        <v>0</v>
      </c>
      <c r="M76" s="308">
        <v>1</v>
      </c>
      <c r="N76" s="308">
        <v>1</v>
      </c>
      <c r="O76" s="309">
        <f t="shared" si="3"/>
        <v>0.6</v>
      </c>
    </row>
    <row r="77" spans="2:15" ht="15" customHeight="1" x14ac:dyDescent="0.2">
      <c r="B77" s="742"/>
      <c r="C77" s="310" t="s">
        <v>180</v>
      </c>
      <c r="D77" s="311">
        <f t="shared" ref="D77:H77" si="23">SUM(D74:D76)</f>
        <v>71</v>
      </c>
      <c r="E77" s="311">
        <f t="shared" si="23"/>
        <v>44</v>
      </c>
      <c r="F77" s="311">
        <f t="shared" si="23"/>
        <v>52</v>
      </c>
      <c r="G77" s="311">
        <f t="shared" si="23"/>
        <v>32</v>
      </c>
      <c r="H77" s="311">
        <f t="shared" si="23"/>
        <v>65</v>
      </c>
      <c r="I77" s="309">
        <f t="shared" si="2"/>
        <v>52.8</v>
      </c>
      <c r="J77" s="311">
        <f t="shared" ref="J77:N77" si="24">SUM(J74:J76)</f>
        <v>1</v>
      </c>
      <c r="K77" s="311">
        <f t="shared" si="24"/>
        <v>0</v>
      </c>
      <c r="L77" s="311">
        <f t="shared" si="24"/>
        <v>0</v>
      </c>
      <c r="M77" s="311">
        <f t="shared" si="24"/>
        <v>1</v>
      </c>
      <c r="N77" s="311">
        <f t="shared" si="24"/>
        <v>2</v>
      </c>
      <c r="O77" s="309">
        <f t="shared" si="3"/>
        <v>0.8</v>
      </c>
    </row>
    <row r="78" spans="2:15" ht="15" customHeight="1" x14ac:dyDescent="0.2">
      <c r="B78" s="742" t="s">
        <v>201</v>
      </c>
      <c r="C78" s="307" t="s">
        <v>114</v>
      </c>
      <c r="D78" s="312">
        <v>42</v>
      </c>
      <c r="E78" s="312">
        <v>39</v>
      </c>
      <c r="F78" s="312">
        <v>44</v>
      </c>
      <c r="G78" s="312">
        <v>59</v>
      </c>
      <c r="H78" s="312">
        <v>45</v>
      </c>
      <c r="I78" s="309">
        <f t="shared" si="2"/>
        <v>45.8</v>
      </c>
      <c r="J78" s="312">
        <v>1</v>
      </c>
      <c r="K78" s="312">
        <v>0</v>
      </c>
      <c r="L78" s="312">
        <v>0</v>
      </c>
      <c r="M78" s="312">
        <v>1</v>
      </c>
      <c r="N78" s="312">
        <v>0</v>
      </c>
      <c r="O78" s="309">
        <f t="shared" si="3"/>
        <v>0.4</v>
      </c>
    </row>
    <row r="79" spans="2:15" ht="15" customHeight="1" x14ac:dyDescent="0.2">
      <c r="B79" s="742"/>
      <c r="C79" s="307" t="s">
        <v>76</v>
      </c>
      <c r="D79" s="312">
        <v>8</v>
      </c>
      <c r="E79" s="312">
        <v>8</v>
      </c>
      <c r="F79" s="312">
        <v>12</v>
      </c>
      <c r="G79" s="312">
        <v>12</v>
      </c>
      <c r="H79" s="312">
        <v>10</v>
      </c>
      <c r="I79" s="309">
        <f t="shared" si="2"/>
        <v>10</v>
      </c>
      <c r="J79" s="312">
        <v>0</v>
      </c>
      <c r="K79" s="312">
        <v>0</v>
      </c>
      <c r="L79" s="312">
        <v>0</v>
      </c>
      <c r="M79" s="312">
        <v>0</v>
      </c>
      <c r="N79" s="312">
        <v>0</v>
      </c>
      <c r="O79" s="309">
        <f t="shared" si="3"/>
        <v>0</v>
      </c>
    </row>
    <row r="80" spans="2:15" ht="15" customHeight="1" x14ac:dyDescent="0.2">
      <c r="B80" s="742"/>
      <c r="C80" s="307" t="s">
        <v>74</v>
      </c>
      <c r="D80" s="312">
        <v>7</v>
      </c>
      <c r="E80" s="312">
        <v>8</v>
      </c>
      <c r="F80" s="312">
        <v>10</v>
      </c>
      <c r="G80" s="312">
        <v>11</v>
      </c>
      <c r="H80" s="312">
        <v>6</v>
      </c>
      <c r="I80" s="309">
        <f t="shared" si="2"/>
        <v>8.4</v>
      </c>
      <c r="J80" s="312">
        <v>0</v>
      </c>
      <c r="K80" s="312">
        <v>0</v>
      </c>
      <c r="L80" s="312">
        <v>1</v>
      </c>
      <c r="M80" s="312">
        <v>0</v>
      </c>
      <c r="N80" s="312">
        <v>0</v>
      </c>
      <c r="O80" s="309">
        <f t="shared" si="3"/>
        <v>0.2</v>
      </c>
    </row>
    <row r="81" spans="2:15" ht="15" customHeight="1" x14ac:dyDescent="0.2">
      <c r="B81" s="742"/>
      <c r="C81" s="310" t="s">
        <v>180</v>
      </c>
      <c r="D81" s="311">
        <f t="shared" ref="D81:H81" si="25">SUM(D78:D80)</f>
        <v>57</v>
      </c>
      <c r="E81" s="311">
        <f t="shared" si="25"/>
        <v>55</v>
      </c>
      <c r="F81" s="311">
        <f t="shared" si="25"/>
        <v>66</v>
      </c>
      <c r="G81" s="311">
        <f t="shared" si="25"/>
        <v>82</v>
      </c>
      <c r="H81" s="311">
        <f t="shared" si="25"/>
        <v>61</v>
      </c>
      <c r="I81" s="309">
        <f t="shared" si="2"/>
        <v>64.2</v>
      </c>
      <c r="J81" s="311">
        <f t="shared" ref="J81:N81" si="26">SUM(J78:J80)</f>
        <v>1</v>
      </c>
      <c r="K81" s="311">
        <f t="shared" si="26"/>
        <v>0</v>
      </c>
      <c r="L81" s="311">
        <f t="shared" si="26"/>
        <v>1</v>
      </c>
      <c r="M81" s="311">
        <f t="shared" si="26"/>
        <v>1</v>
      </c>
      <c r="N81" s="311">
        <f t="shared" si="26"/>
        <v>0</v>
      </c>
      <c r="O81" s="309">
        <f t="shared" si="3"/>
        <v>0.6</v>
      </c>
    </row>
    <row r="82" spans="2:15" x14ac:dyDescent="0.2">
      <c r="B82" s="742" t="s">
        <v>202</v>
      </c>
      <c r="C82" s="307" t="s">
        <v>114</v>
      </c>
      <c r="D82" s="312">
        <v>14</v>
      </c>
      <c r="E82" s="312">
        <v>14</v>
      </c>
      <c r="F82" s="312">
        <v>16</v>
      </c>
      <c r="G82" s="312">
        <v>14</v>
      </c>
      <c r="H82" s="312">
        <v>24</v>
      </c>
      <c r="I82" s="309">
        <f t="shared" si="2"/>
        <v>16.399999999999999</v>
      </c>
      <c r="J82" s="312">
        <v>0</v>
      </c>
      <c r="K82" s="312">
        <v>0</v>
      </c>
      <c r="L82" s="312">
        <v>0</v>
      </c>
      <c r="M82" s="312">
        <v>0</v>
      </c>
      <c r="N82" s="312">
        <v>0</v>
      </c>
      <c r="O82" s="309">
        <f t="shared" si="3"/>
        <v>0</v>
      </c>
    </row>
    <row r="83" spans="2:15" ht="15" customHeight="1" x14ac:dyDescent="0.2">
      <c r="B83" s="742"/>
      <c r="C83" s="307" t="s">
        <v>76</v>
      </c>
      <c r="D83" s="312">
        <v>5</v>
      </c>
      <c r="E83" s="312">
        <v>3</v>
      </c>
      <c r="F83" s="312">
        <v>8</v>
      </c>
      <c r="G83" s="312">
        <v>5</v>
      </c>
      <c r="H83" s="312">
        <v>8</v>
      </c>
      <c r="I83" s="309">
        <f t="shared" si="2"/>
        <v>5.8</v>
      </c>
      <c r="J83" s="308">
        <v>0</v>
      </c>
      <c r="K83" s="308">
        <v>0</v>
      </c>
      <c r="L83" s="308">
        <v>0</v>
      </c>
      <c r="M83" s="308">
        <v>2</v>
      </c>
      <c r="N83" s="308">
        <v>0</v>
      </c>
      <c r="O83" s="309">
        <f t="shared" si="3"/>
        <v>0.4</v>
      </c>
    </row>
    <row r="84" spans="2:15" ht="15" customHeight="1" x14ac:dyDescent="0.2">
      <c r="B84" s="742"/>
      <c r="C84" s="307" t="s">
        <v>74</v>
      </c>
      <c r="D84" s="312">
        <v>7</v>
      </c>
      <c r="E84" s="312">
        <v>3</v>
      </c>
      <c r="F84" s="312">
        <v>4</v>
      </c>
      <c r="G84" s="312">
        <v>4</v>
      </c>
      <c r="H84" s="312">
        <v>6</v>
      </c>
      <c r="I84" s="309">
        <f t="shared" si="2"/>
        <v>4.8</v>
      </c>
      <c r="J84" s="308">
        <v>1</v>
      </c>
      <c r="K84" s="308">
        <v>0</v>
      </c>
      <c r="L84" s="308">
        <v>0</v>
      </c>
      <c r="M84" s="308">
        <v>3</v>
      </c>
      <c r="N84" s="308">
        <v>0</v>
      </c>
      <c r="O84" s="309">
        <f t="shared" si="3"/>
        <v>0.8</v>
      </c>
    </row>
    <row r="85" spans="2:15" ht="15" customHeight="1" x14ac:dyDescent="0.2">
      <c r="B85" s="742"/>
      <c r="C85" s="310" t="s">
        <v>180</v>
      </c>
      <c r="D85" s="311">
        <f t="shared" ref="D85:H85" si="27">SUM(D82:D84)</f>
        <v>26</v>
      </c>
      <c r="E85" s="311">
        <f t="shared" si="27"/>
        <v>20</v>
      </c>
      <c r="F85" s="311">
        <f t="shared" si="27"/>
        <v>28</v>
      </c>
      <c r="G85" s="311">
        <f t="shared" si="27"/>
        <v>23</v>
      </c>
      <c r="H85" s="311">
        <f t="shared" si="27"/>
        <v>38</v>
      </c>
      <c r="I85" s="309">
        <f t="shared" si="2"/>
        <v>27</v>
      </c>
      <c r="J85" s="311">
        <f t="shared" ref="J85:N85" si="28">SUM(J82:J84)</f>
        <v>1</v>
      </c>
      <c r="K85" s="311">
        <f t="shared" si="28"/>
        <v>0</v>
      </c>
      <c r="L85" s="311">
        <f t="shared" si="28"/>
        <v>0</v>
      </c>
      <c r="M85" s="311">
        <f t="shared" si="28"/>
        <v>5</v>
      </c>
      <c r="N85" s="311">
        <f t="shared" si="28"/>
        <v>0</v>
      </c>
      <c r="O85" s="309">
        <f t="shared" si="3"/>
        <v>1.2</v>
      </c>
    </row>
    <row r="86" spans="2:15" ht="15" customHeight="1" x14ac:dyDescent="0.2">
      <c r="B86" s="742" t="s">
        <v>203</v>
      </c>
      <c r="C86" s="307" t="s">
        <v>114</v>
      </c>
      <c r="D86" s="312">
        <v>7</v>
      </c>
      <c r="E86" s="312">
        <v>15</v>
      </c>
      <c r="F86" s="312">
        <v>12</v>
      </c>
      <c r="G86" s="312">
        <v>17</v>
      </c>
      <c r="H86" s="312">
        <v>11</v>
      </c>
      <c r="I86" s="309">
        <f t="shared" si="2"/>
        <v>12.4</v>
      </c>
      <c r="J86" s="312">
        <v>0</v>
      </c>
      <c r="K86" s="312">
        <v>0</v>
      </c>
      <c r="L86" s="312">
        <v>0</v>
      </c>
      <c r="M86" s="312">
        <v>1</v>
      </c>
      <c r="N86" s="312">
        <v>0</v>
      </c>
      <c r="O86" s="309">
        <f t="shared" si="3"/>
        <v>0.2</v>
      </c>
    </row>
    <row r="87" spans="2:15" ht="15" customHeight="1" x14ac:dyDescent="0.2">
      <c r="B87" s="742"/>
      <c r="C87" s="307" t="s">
        <v>76</v>
      </c>
      <c r="D87" s="312">
        <v>3</v>
      </c>
      <c r="E87" s="312">
        <v>4</v>
      </c>
      <c r="F87" s="312">
        <v>3</v>
      </c>
      <c r="G87" s="312">
        <v>0</v>
      </c>
      <c r="H87" s="312">
        <v>0</v>
      </c>
      <c r="I87" s="309">
        <f t="shared" si="2"/>
        <v>2</v>
      </c>
      <c r="J87" s="319">
        <v>0</v>
      </c>
      <c r="K87" s="319">
        <v>1</v>
      </c>
      <c r="L87" s="319">
        <v>1</v>
      </c>
      <c r="M87" s="319">
        <v>0</v>
      </c>
      <c r="N87" s="319">
        <v>0</v>
      </c>
      <c r="O87" s="309">
        <f t="shared" si="3"/>
        <v>0.4</v>
      </c>
    </row>
    <row r="88" spans="2:15" ht="15" customHeight="1" x14ac:dyDescent="0.2">
      <c r="B88" s="742"/>
      <c r="C88" s="307" t="s">
        <v>74</v>
      </c>
      <c r="D88" s="312">
        <v>0</v>
      </c>
      <c r="E88" s="312">
        <v>0</v>
      </c>
      <c r="F88" s="312">
        <v>0</v>
      </c>
      <c r="G88" s="312">
        <v>0</v>
      </c>
      <c r="H88" s="312">
        <v>1</v>
      </c>
      <c r="I88" s="309">
        <f t="shared" si="2"/>
        <v>0.2</v>
      </c>
      <c r="J88" s="319">
        <v>0</v>
      </c>
      <c r="K88" s="319">
        <v>0</v>
      </c>
      <c r="L88" s="319">
        <v>0</v>
      </c>
      <c r="M88" s="319">
        <v>0</v>
      </c>
      <c r="N88" s="319">
        <v>1</v>
      </c>
      <c r="O88" s="309">
        <f t="shared" si="3"/>
        <v>0.2</v>
      </c>
    </row>
    <row r="89" spans="2:15" ht="15" customHeight="1" x14ac:dyDescent="0.2">
      <c r="B89" s="742"/>
      <c r="C89" s="310" t="s">
        <v>180</v>
      </c>
      <c r="D89" s="311">
        <f t="shared" ref="D89:H89" si="29">SUM(D86:D88)</f>
        <v>10</v>
      </c>
      <c r="E89" s="311">
        <f t="shared" si="29"/>
        <v>19</v>
      </c>
      <c r="F89" s="311">
        <f t="shared" si="29"/>
        <v>15</v>
      </c>
      <c r="G89" s="311">
        <f t="shared" si="29"/>
        <v>17</v>
      </c>
      <c r="H89" s="311">
        <f t="shared" si="29"/>
        <v>12</v>
      </c>
      <c r="I89" s="309">
        <f t="shared" si="2"/>
        <v>14.6</v>
      </c>
      <c r="J89" s="311">
        <f t="shared" ref="J89:N89" si="30">SUM(J86:J88)</f>
        <v>0</v>
      </c>
      <c r="K89" s="311">
        <f t="shared" si="30"/>
        <v>1</v>
      </c>
      <c r="L89" s="311">
        <f t="shared" si="30"/>
        <v>1</v>
      </c>
      <c r="M89" s="311">
        <f t="shared" si="30"/>
        <v>1</v>
      </c>
      <c r="N89" s="311">
        <f t="shared" si="30"/>
        <v>1</v>
      </c>
      <c r="O89" s="309">
        <f t="shared" si="3"/>
        <v>0.8</v>
      </c>
    </row>
    <row r="90" spans="2:15" ht="15" customHeight="1" x14ac:dyDescent="0.2">
      <c r="B90" s="742" t="s">
        <v>204</v>
      </c>
      <c r="C90" s="307" t="s">
        <v>114</v>
      </c>
      <c r="D90" s="312">
        <v>23</v>
      </c>
      <c r="E90" s="312">
        <v>12</v>
      </c>
      <c r="F90" s="312">
        <v>30</v>
      </c>
      <c r="G90" s="312">
        <v>15</v>
      </c>
      <c r="H90" s="312">
        <v>18</v>
      </c>
      <c r="I90" s="309">
        <f t="shared" si="2"/>
        <v>19.600000000000001</v>
      </c>
      <c r="J90" s="312">
        <v>0</v>
      </c>
      <c r="K90" s="312">
        <v>0</v>
      </c>
      <c r="L90" s="312">
        <v>0</v>
      </c>
      <c r="M90" s="312">
        <v>0</v>
      </c>
      <c r="N90" s="312">
        <v>0</v>
      </c>
      <c r="O90" s="309">
        <f t="shared" si="3"/>
        <v>0</v>
      </c>
    </row>
    <row r="91" spans="2:15" ht="15" customHeight="1" x14ac:dyDescent="0.2">
      <c r="B91" s="742"/>
      <c r="C91" s="307" t="s">
        <v>76</v>
      </c>
      <c r="D91" s="312">
        <v>25</v>
      </c>
      <c r="E91" s="312">
        <v>5</v>
      </c>
      <c r="F91" s="312">
        <v>14</v>
      </c>
      <c r="G91" s="312">
        <v>3</v>
      </c>
      <c r="H91" s="312">
        <v>16</v>
      </c>
      <c r="I91" s="309">
        <f t="shared" si="2"/>
        <v>12.6</v>
      </c>
      <c r="J91" s="312">
        <v>0</v>
      </c>
      <c r="K91" s="312">
        <v>0</v>
      </c>
      <c r="L91" s="312">
        <v>0</v>
      </c>
      <c r="M91" s="312">
        <v>1</v>
      </c>
      <c r="N91" s="312">
        <v>0</v>
      </c>
      <c r="O91" s="309">
        <f t="shared" si="3"/>
        <v>0.2</v>
      </c>
    </row>
    <row r="92" spans="2:15" ht="15" customHeight="1" x14ac:dyDescent="0.2">
      <c r="B92" s="742"/>
      <c r="C92" s="307" t="s">
        <v>74</v>
      </c>
      <c r="D92" s="312">
        <v>14</v>
      </c>
      <c r="E92" s="312">
        <v>6</v>
      </c>
      <c r="F92" s="312">
        <v>24</v>
      </c>
      <c r="G92" s="312">
        <v>13</v>
      </c>
      <c r="H92" s="312">
        <v>15</v>
      </c>
      <c r="I92" s="309">
        <f t="shared" si="2"/>
        <v>14.4</v>
      </c>
      <c r="J92" s="312">
        <v>0</v>
      </c>
      <c r="K92" s="312">
        <v>0</v>
      </c>
      <c r="L92" s="312">
        <v>0</v>
      </c>
      <c r="M92" s="312">
        <v>0</v>
      </c>
      <c r="N92" s="312">
        <v>0</v>
      </c>
      <c r="O92" s="309">
        <f t="shared" si="3"/>
        <v>0</v>
      </c>
    </row>
    <row r="93" spans="2:15" ht="15" customHeight="1" x14ac:dyDescent="0.2">
      <c r="B93" s="742"/>
      <c r="C93" s="310" t="s">
        <v>180</v>
      </c>
      <c r="D93" s="311">
        <f t="shared" ref="D93:H93" si="31">SUM(D90:D92)</f>
        <v>62</v>
      </c>
      <c r="E93" s="311">
        <f t="shared" si="31"/>
        <v>23</v>
      </c>
      <c r="F93" s="311">
        <f t="shared" si="31"/>
        <v>68</v>
      </c>
      <c r="G93" s="311">
        <f t="shared" si="31"/>
        <v>31</v>
      </c>
      <c r="H93" s="311">
        <f t="shared" si="31"/>
        <v>49</v>
      </c>
      <c r="I93" s="309">
        <f t="shared" si="2"/>
        <v>46.6</v>
      </c>
      <c r="J93" s="311">
        <f t="shared" ref="J93:N93" si="32">SUM(J90:J92)</f>
        <v>0</v>
      </c>
      <c r="K93" s="311">
        <f t="shared" si="32"/>
        <v>0</v>
      </c>
      <c r="L93" s="311">
        <f t="shared" si="32"/>
        <v>0</v>
      </c>
      <c r="M93" s="311">
        <f t="shared" si="32"/>
        <v>1</v>
      </c>
      <c r="N93" s="311">
        <f t="shared" si="32"/>
        <v>0</v>
      </c>
      <c r="O93" s="309">
        <f t="shared" si="3"/>
        <v>0.2</v>
      </c>
    </row>
    <row r="94" spans="2:15" ht="15" customHeight="1" x14ac:dyDescent="0.2">
      <c r="B94" s="742" t="s">
        <v>205</v>
      </c>
      <c r="C94" s="307" t="s">
        <v>114</v>
      </c>
      <c r="D94" s="312">
        <v>6</v>
      </c>
      <c r="E94" s="312">
        <v>5</v>
      </c>
      <c r="F94" s="312">
        <v>6</v>
      </c>
      <c r="G94" s="312">
        <v>4</v>
      </c>
      <c r="H94" s="312">
        <v>6</v>
      </c>
      <c r="I94" s="309">
        <f t="shared" si="2"/>
        <v>5.4</v>
      </c>
      <c r="J94" s="312">
        <v>0</v>
      </c>
      <c r="K94" s="312">
        <v>0</v>
      </c>
      <c r="L94" s="312">
        <v>0</v>
      </c>
      <c r="M94" s="312">
        <v>0</v>
      </c>
      <c r="N94" s="312">
        <v>0</v>
      </c>
      <c r="O94" s="309">
        <f t="shared" si="3"/>
        <v>0</v>
      </c>
    </row>
    <row r="95" spans="2:15" ht="15" customHeight="1" x14ac:dyDescent="0.2">
      <c r="B95" s="742"/>
      <c r="C95" s="307" t="s">
        <v>76</v>
      </c>
      <c r="D95" s="312">
        <v>1</v>
      </c>
      <c r="E95" s="312">
        <v>2</v>
      </c>
      <c r="F95" s="312">
        <v>3</v>
      </c>
      <c r="G95" s="312">
        <v>0</v>
      </c>
      <c r="H95" s="312">
        <v>5</v>
      </c>
      <c r="I95" s="309">
        <f t="shared" si="2"/>
        <v>2.2000000000000002</v>
      </c>
      <c r="J95" s="312">
        <v>0</v>
      </c>
      <c r="K95" s="312">
        <v>0</v>
      </c>
      <c r="L95" s="312">
        <v>0</v>
      </c>
      <c r="M95" s="312">
        <v>0</v>
      </c>
      <c r="N95" s="312">
        <v>0</v>
      </c>
      <c r="O95" s="309">
        <f t="shared" si="3"/>
        <v>0</v>
      </c>
    </row>
    <row r="96" spans="2:15" ht="15" customHeight="1" x14ac:dyDescent="0.2">
      <c r="B96" s="742"/>
      <c r="C96" s="307" t="s">
        <v>74</v>
      </c>
      <c r="D96" s="312">
        <v>0</v>
      </c>
      <c r="E96" s="312">
        <v>2</v>
      </c>
      <c r="F96" s="312">
        <v>1</v>
      </c>
      <c r="G96" s="312">
        <v>0</v>
      </c>
      <c r="H96" s="312">
        <v>0</v>
      </c>
      <c r="I96" s="309">
        <f t="shared" si="2"/>
        <v>0.6</v>
      </c>
      <c r="J96" s="312">
        <v>0</v>
      </c>
      <c r="K96" s="312">
        <v>0</v>
      </c>
      <c r="L96" s="312">
        <v>0</v>
      </c>
      <c r="M96" s="312">
        <v>0</v>
      </c>
      <c r="N96" s="312">
        <v>0</v>
      </c>
      <c r="O96" s="309">
        <f t="shared" si="3"/>
        <v>0</v>
      </c>
    </row>
    <row r="97" spans="2:15" ht="15" customHeight="1" x14ac:dyDescent="0.2">
      <c r="B97" s="742"/>
      <c r="C97" s="310" t="s">
        <v>180</v>
      </c>
      <c r="D97" s="311">
        <f t="shared" ref="D97:H97" si="33">SUM(D94:D96)</f>
        <v>7</v>
      </c>
      <c r="E97" s="311">
        <f t="shared" si="33"/>
        <v>9</v>
      </c>
      <c r="F97" s="311">
        <f t="shared" si="33"/>
        <v>10</v>
      </c>
      <c r="G97" s="311">
        <f t="shared" si="33"/>
        <v>4</v>
      </c>
      <c r="H97" s="311">
        <f t="shared" si="33"/>
        <v>11</v>
      </c>
      <c r="I97" s="309">
        <f t="shared" si="2"/>
        <v>8.1999999999999993</v>
      </c>
      <c r="J97" s="311">
        <f t="shared" ref="J97:N97" si="34">SUM(J94:J96)</f>
        <v>0</v>
      </c>
      <c r="K97" s="311">
        <f t="shared" si="34"/>
        <v>0</v>
      </c>
      <c r="L97" s="311">
        <f t="shared" si="34"/>
        <v>0</v>
      </c>
      <c r="M97" s="311">
        <f t="shared" si="34"/>
        <v>0</v>
      </c>
      <c r="N97" s="311">
        <f t="shared" si="34"/>
        <v>0</v>
      </c>
      <c r="O97" s="309">
        <f t="shared" si="3"/>
        <v>0</v>
      </c>
    </row>
    <row r="98" spans="2:15" ht="15" customHeight="1" x14ac:dyDescent="0.2">
      <c r="B98" s="743" t="s">
        <v>206</v>
      </c>
      <c r="C98" s="307" t="s">
        <v>114</v>
      </c>
      <c r="D98" s="312">
        <v>12</v>
      </c>
      <c r="E98" s="312">
        <v>21</v>
      </c>
      <c r="F98" s="312">
        <v>19</v>
      </c>
      <c r="G98" s="312">
        <v>15</v>
      </c>
      <c r="H98" s="312">
        <v>29</v>
      </c>
      <c r="I98" s="309">
        <f t="shared" si="2"/>
        <v>19.2</v>
      </c>
      <c r="J98" s="312">
        <v>0</v>
      </c>
      <c r="K98" s="312">
        <v>0</v>
      </c>
      <c r="L98" s="312">
        <v>1</v>
      </c>
      <c r="M98" s="312">
        <v>0</v>
      </c>
      <c r="N98" s="312">
        <v>0</v>
      </c>
      <c r="O98" s="309">
        <f t="shared" si="3"/>
        <v>0.2</v>
      </c>
    </row>
    <row r="99" spans="2:15" ht="15" customHeight="1" x14ac:dyDescent="0.2">
      <c r="B99" s="743"/>
      <c r="C99" s="307" t="s">
        <v>76</v>
      </c>
      <c r="D99" s="312">
        <v>1</v>
      </c>
      <c r="E99" s="312">
        <v>5</v>
      </c>
      <c r="F99" s="312">
        <v>5</v>
      </c>
      <c r="G99" s="312">
        <v>8</v>
      </c>
      <c r="H99" s="312">
        <v>9</v>
      </c>
      <c r="I99" s="309">
        <f t="shared" si="2"/>
        <v>5.6</v>
      </c>
      <c r="J99" s="312">
        <v>0</v>
      </c>
      <c r="K99" s="312">
        <v>0</v>
      </c>
      <c r="L99" s="312">
        <v>0</v>
      </c>
      <c r="M99" s="312">
        <v>0</v>
      </c>
      <c r="N99" s="312">
        <v>0</v>
      </c>
      <c r="O99" s="309">
        <f t="shared" si="3"/>
        <v>0</v>
      </c>
    </row>
    <row r="100" spans="2:15" ht="15" customHeight="1" x14ac:dyDescent="0.2">
      <c r="B100" s="743"/>
      <c r="C100" s="307" t="s">
        <v>74</v>
      </c>
      <c r="D100" s="312">
        <v>7</v>
      </c>
      <c r="E100" s="312">
        <v>4</v>
      </c>
      <c r="F100" s="312">
        <v>10</v>
      </c>
      <c r="G100" s="312">
        <v>6</v>
      </c>
      <c r="H100" s="312">
        <v>7</v>
      </c>
      <c r="I100" s="309">
        <f t="shared" si="2"/>
        <v>6.8</v>
      </c>
      <c r="J100" s="312">
        <v>0</v>
      </c>
      <c r="K100" s="312">
        <v>0</v>
      </c>
      <c r="L100" s="312">
        <v>0</v>
      </c>
      <c r="M100" s="312">
        <v>0</v>
      </c>
      <c r="N100" s="312">
        <v>0</v>
      </c>
      <c r="O100" s="309">
        <f t="shared" si="3"/>
        <v>0</v>
      </c>
    </row>
    <row r="101" spans="2:15" ht="15" customHeight="1" x14ac:dyDescent="0.2">
      <c r="B101" s="743"/>
      <c r="C101" s="310" t="s">
        <v>180</v>
      </c>
      <c r="D101" s="311">
        <f t="shared" ref="D101:H101" si="35">SUM(D98:D100)</f>
        <v>20</v>
      </c>
      <c r="E101" s="311">
        <f t="shared" si="35"/>
        <v>30</v>
      </c>
      <c r="F101" s="311">
        <f t="shared" si="35"/>
        <v>34</v>
      </c>
      <c r="G101" s="311">
        <f t="shared" si="35"/>
        <v>29</v>
      </c>
      <c r="H101" s="311">
        <f t="shared" si="35"/>
        <v>45</v>
      </c>
      <c r="I101" s="309">
        <f t="shared" si="2"/>
        <v>31.6</v>
      </c>
      <c r="J101" s="311">
        <f t="shared" ref="J101:N101" si="36">SUM(J98:J100)</f>
        <v>0</v>
      </c>
      <c r="K101" s="311">
        <f t="shared" si="36"/>
        <v>0</v>
      </c>
      <c r="L101" s="311">
        <f t="shared" si="36"/>
        <v>1</v>
      </c>
      <c r="M101" s="311">
        <f t="shared" si="36"/>
        <v>0</v>
      </c>
      <c r="N101" s="311">
        <f t="shared" si="36"/>
        <v>0</v>
      </c>
      <c r="O101" s="309">
        <f t="shared" si="3"/>
        <v>0.2</v>
      </c>
    </row>
    <row r="102" spans="2:15" ht="15" customHeight="1" x14ac:dyDescent="0.2">
      <c r="B102" s="743" t="s">
        <v>207</v>
      </c>
      <c r="C102" s="307" t="s">
        <v>114</v>
      </c>
      <c r="D102" s="312">
        <v>0</v>
      </c>
      <c r="E102" s="312">
        <v>1</v>
      </c>
      <c r="F102" s="312">
        <v>0</v>
      </c>
      <c r="G102" s="312">
        <v>0</v>
      </c>
      <c r="H102" s="312">
        <v>0</v>
      </c>
      <c r="I102" s="309">
        <f t="shared" si="2"/>
        <v>0.2</v>
      </c>
      <c r="J102" s="312">
        <v>0</v>
      </c>
      <c r="K102" s="312">
        <v>0</v>
      </c>
      <c r="L102" s="312">
        <v>0</v>
      </c>
      <c r="M102" s="312">
        <v>0</v>
      </c>
      <c r="N102" s="312">
        <v>0</v>
      </c>
      <c r="O102" s="309">
        <f t="shared" si="3"/>
        <v>0</v>
      </c>
    </row>
    <row r="103" spans="2:15" ht="15" customHeight="1" x14ac:dyDescent="0.2">
      <c r="B103" s="743"/>
      <c r="C103" s="307" t="s">
        <v>76</v>
      </c>
      <c r="D103" s="312">
        <v>1</v>
      </c>
      <c r="E103" s="312">
        <v>0</v>
      </c>
      <c r="F103" s="312">
        <v>0</v>
      </c>
      <c r="G103" s="312">
        <v>1</v>
      </c>
      <c r="H103" s="312">
        <v>3</v>
      </c>
      <c r="I103" s="309">
        <f t="shared" si="2"/>
        <v>1</v>
      </c>
      <c r="J103" s="312">
        <v>0</v>
      </c>
      <c r="K103" s="312">
        <v>0</v>
      </c>
      <c r="L103" s="312">
        <v>0</v>
      </c>
      <c r="M103" s="312">
        <v>0</v>
      </c>
      <c r="N103" s="312">
        <v>0</v>
      </c>
      <c r="O103" s="309">
        <f t="shared" si="3"/>
        <v>0</v>
      </c>
    </row>
    <row r="104" spans="2:15" ht="15" customHeight="1" x14ac:dyDescent="0.2">
      <c r="B104" s="743"/>
      <c r="C104" s="307" t="s">
        <v>74</v>
      </c>
      <c r="D104" s="312">
        <v>0</v>
      </c>
      <c r="E104" s="312">
        <v>0</v>
      </c>
      <c r="F104" s="312">
        <v>0</v>
      </c>
      <c r="G104" s="312">
        <v>0</v>
      </c>
      <c r="H104" s="312">
        <v>0</v>
      </c>
      <c r="I104" s="309">
        <f t="shared" si="2"/>
        <v>0</v>
      </c>
      <c r="J104" s="312">
        <v>0</v>
      </c>
      <c r="K104" s="312">
        <v>0</v>
      </c>
      <c r="L104" s="312">
        <v>0</v>
      </c>
      <c r="M104" s="312">
        <v>0</v>
      </c>
      <c r="N104" s="312">
        <v>0</v>
      </c>
      <c r="O104" s="309">
        <f t="shared" si="3"/>
        <v>0</v>
      </c>
    </row>
    <row r="105" spans="2:15" ht="15" customHeight="1" x14ac:dyDescent="0.2">
      <c r="B105" s="743"/>
      <c r="C105" s="310" t="s">
        <v>180</v>
      </c>
      <c r="D105" s="311">
        <f t="shared" ref="D105:H105" si="37">SUM(D102:D104)</f>
        <v>1</v>
      </c>
      <c r="E105" s="311">
        <f t="shared" si="37"/>
        <v>1</v>
      </c>
      <c r="F105" s="311">
        <f t="shared" si="37"/>
        <v>0</v>
      </c>
      <c r="G105" s="311">
        <f t="shared" si="37"/>
        <v>1</v>
      </c>
      <c r="H105" s="311">
        <f t="shared" si="37"/>
        <v>3</v>
      </c>
      <c r="I105" s="309">
        <f t="shared" si="2"/>
        <v>1.2</v>
      </c>
      <c r="J105" s="311">
        <f t="shared" ref="J105:N105" si="38">SUM(J102:J104)</f>
        <v>0</v>
      </c>
      <c r="K105" s="311">
        <f t="shared" si="38"/>
        <v>0</v>
      </c>
      <c r="L105" s="311">
        <f t="shared" si="38"/>
        <v>0</v>
      </c>
      <c r="M105" s="311">
        <f t="shared" si="38"/>
        <v>0</v>
      </c>
      <c r="N105" s="311">
        <f t="shared" si="38"/>
        <v>0</v>
      </c>
      <c r="O105" s="309">
        <f t="shared" si="3"/>
        <v>0</v>
      </c>
    </row>
    <row r="106" spans="2:15" ht="15" customHeight="1" x14ac:dyDescent="0.2">
      <c r="B106" s="743" t="s">
        <v>208</v>
      </c>
      <c r="C106" s="307" t="s">
        <v>114</v>
      </c>
      <c r="D106" s="313">
        <v>0</v>
      </c>
      <c r="E106" s="313">
        <v>0</v>
      </c>
      <c r="F106" s="312">
        <v>1</v>
      </c>
      <c r="G106" s="312">
        <v>2</v>
      </c>
      <c r="H106" s="312">
        <v>0</v>
      </c>
      <c r="I106" s="309">
        <f t="shared" si="2"/>
        <v>0.6</v>
      </c>
      <c r="J106" s="312">
        <v>0</v>
      </c>
      <c r="K106" s="312">
        <v>0</v>
      </c>
      <c r="L106" s="312">
        <v>0</v>
      </c>
      <c r="M106" s="312">
        <v>0</v>
      </c>
      <c r="N106" s="312">
        <v>0</v>
      </c>
      <c r="O106" s="309">
        <f t="shared" si="3"/>
        <v>0</v>
      </c>
    </row>
    <row r="107" spans="2:15" ht="15" customHeight="1" x14ac:dyDescent="0.2">
      <c r="B107" s="743"/>
      <c r="C107" s="307" t="s">
        <v>76</v>
      </c>
      <c r="D107" s="313">
        <v>0</v>
      </c>
      <c r="E107" s="313">
        <v>0</v>
      </c>
      <c r="F107" s="312">
        <v>1</v>
      </c>
      <c r="G107" s="312">
        <v>2</v>
      </c>
      <c r="H107" s="312">
        <v>1</v>
      </c>
      <c r="I107" s="309">
        <f t="shared" si="2"/>
        <v>0.8</v>
      </c>
      <c r="J107" s="312">
        <v>0</v>
      </c>
      <c r="K107" s="312">
        <v>0</v>
      </c>
      <c r="L107" s="312">
        <v>0</v>
      </c>
      <c r="M107" s="312">
        <v>0</v>
      </c>
      <c r="N107" s="312">
        <v>0</v>
      </c>
      <c r="O107" s="309">
        <f t="shared" si="3"/>
        <v>0</v>
      </c>
    </row>
    <row r="108" spans="2:15" ht="15" customHeight="1" x14ac:dyDescent="0.2">
      <c r="B108" s="743"/>
      <c r="C108" s="307" t="s">
        <v>74</v>
      </c>
      <c r="D108" s="313">
        <v>0</v>
      </c>
      <c r="E108" s="312">
        <v>1</v>
      </c>
      <c r="F108" s="312">
        <v>0</v>
      </c>
      <c r="G108" s="312">
        <v>1</v>
      </c>
      <c r="H108" s="312">
        <v>0</v>
      </c>
      <c r="I108" s="309">
        <f t="shared" si="2"/>
        <v>0.4</v>
      </c>
      <c r="J108" s="312">
        <v>0</v>
      </c>
      <c r="K108" s="312">
        <v>0</v>
      </c>
      <c r="L108" s="312">
        <v>0</v>
      </c>
      <c r="M108" s="312">
        <v>0</v>
      </c>
      <c r="N108" s="312">
        <v>0</v>
      </c>
      <c r="O108" s="309">
        <f t="shared" si="3"/>
        <v>0</v>
      </c>
    </row>
    <row r="109" spans="2:15" ht="15" customHeight="1" x14ac:dyDescent="0.2">
      <c r="B109" s="743"/>
      <c r="C109" s="310" t="s">
        <v>180</v>
      </c>
      <c r="D109" s="311">
        <f t="shared" ref="D109:H109" si="39">SUM(D106:D108)</f>
        <v>0</v>
      </c>
      <c r="E109" s="311">
        <f t="shared" si="39"/>
        <v>1</v>
      </c>
      <c r="F109" s="311">
        <f t="shared" si="39"/>
        <v>2</v>
      </c>
      <c r="G109" s="311">
        <f t="shared" si="39"/>
        <v>5</v>
      </c>
      <c r="H109" s="311">
        <f t="shared" si="39"/>
        <v>1</v>
      </c>
      <c r="I109" s="309">
        <f t="shared" si="2"/>
        <v>1.8</v>
      </c>
      <c r="J109" s="311">
        <f t="shared" ref="J109:N109" si="40">SUM(J106:J108)</f>
        <v>0</v>
      </c>
      <c r="K109" s="311">
        <f t="shared" si="40"/>
        <v>0</v>
      </c>
      <c r="L109" s="311">
        <f t="shared" si="40"/>
        <v>0</v>
      </c>
      <c r="M109" s="311">
        <f t="shared" si="40"/>
        <v>0</v>
      </c>
      <c r="N109" s="311">
        <f t="shared" si="40"/>
        <v>0</v>
      </c>
      <c r="O109" s="309">
        <f t="shared" si="3"/>
        <v>0</v>
      </c>
    </row>
    <row r="110" spans="2:15" ht="15" customHeight="1" x14ac:dyDescent="0.2">
      <c r="B110" s="743" t="s">
        <v>209</v>
      </c>
      <c r="C110" s="307" t="s">
        <v>114</v>
      </c>
      <c r="D110" s="312">
        <v>0</v>
      </c>
      <c r="E110" s="312">
        <v>1</v>
      </c>
      <c r="F110" s="312">
        <v>1</v>
      </c>
      <c r="G110" s="312">
        <v>0</v>
      </c>
      <c r="H110" s="312">
        <v>1</v>
      </c>
      <c r="I110" s="309">
        <f t="shared" si="2"/>
        <v>0.6</v>
      </c>
      <c r="J110" s="312">
        <v>0</v>
      </c>
      <c r="K110" s="312">
        <v>1</v>
      </c>
      <c r="L110" s="312">
        <v>1</v>
      </c>
      <c r="M110" s="312">
        <v>0</v>
      </c>
      <c r="N110" s="312">
        <v>0</v>
      </c>
      <c r="O110" s="309">
        <f t="shared" si="3"/>
        <v>0.4</v>
      </c>
    </row>
    <row r="111" spans="2:15" ht="15" customHeight="1" x14ac:dyDescent="0.2">
      <c r="B111" s="743"/>
      <c r="C111" s="307" t="s">
        <v>76</v>
      </c>
      <c r="D111" s="312">
        <v>1</v>
      </c>
      <c r="E111" s="312">
        <v>1</v>
      </c>
      <c r="F111" s="312">
        <v>0</v>
      </c>
      <c r="G111" s="312">
        <v>1</v>
      </c>
      <c r="H111" s="312">
        <v>1</v>
      </c>
      <c r="I111" s="309">
        <f t="shared" si="2"/>
        <v>0.8</v>
      </c>
      <c r="J111" s="312">
        <v>0</v>
      </c>
      <c r="K111" s="312">
        <v>0</v>
      </c>
      <c r="L111" s="312">
        <v>0</v>
      </c>
      <c r="M111" s="312">
        <v>0</v>
      </c>
      <c r="N111" s="312">
        <v>0</v>
      </c>
      <c r="O111" s="309">
        <f t="shared" si="3"/>
        <v>0</v>
      </c>
    </row>
    <row r="112" spans="2:15" ht="15" customHeight="1" x14ac:dyDescent="0.2">
      <c r="B112" s="743"/>
      <c r="C112" s="307" t="s">
        <v>74</v>
      </c>
      <c r="D112" s="312">
        <v>0</v>
      </c>
      <c r="E112" s="312">
        <v>0</v>
      </c>
      <c r="F112" s="312">
        <v>0</v>
      </c>
      <c r="G112" s="312">
        <v>0</v>
      </c>
      <c r="H112" s="312">
        <v>0</v>
      </c>
      <c r="I112" s="309">
        <f t="shared" si="2"/>
        <v>0</v>
      </c>
      <c r="J112" s="312">
        <v>0</v>
      </c>
      <c r="K112" s="312">
        <v>0</v>
      </c>
      <c r="L112" s="312"/>
      <c r="M112" s="312">
        <v>1</v>
      </c>
      <c r="N112" s="312">
        <v>0</v>
      </c>
      <c r="O112" s="309">
        <f t="shared" si="3"/>
        <v>0.25</v>
      </c>
    </row>
    <row r="113" spans="2:15" ht="15" customHeight="1" x14ac:dyDescent="0.2">
      <c r="B113" s="743"/>
      <c r="C113" s="310" t="s">
        <v>180</v>
      </c>
      <c r="D113" s="311">
        <f t="shared" ref="D113:H113" si="41">SUM(D110:D112)</f>
        <v>1</v>
      </c>
      <c r="E113" s="311">
        <f t="shared" si="41"/>
        <v>2</v>
      </c>
      <c r="F113" s="311">
        <f t="shared" si="41"/>
        <v>1</v>
      </c>
      <c r="G113" s="311">
        <f t="shared" si="41"/>
        <v>1</v>
      </c>
      <c r="H113" s="311">
        <f t="shared" si="41"/>
        <v>2</v>
      </c>
      <c r="I113" s="309">
        <f t="shared" si="2"/>
        <v>1.4</v>
      </c>
      <c r="J113" s="311">
        <f t="shared" ref="J113:N113" si="42">SUM(J110:J112)</f>
        <v>0</v>
      </c>
      <c r="K113" s="311">
        <f t="shared" si="42"/>
        <v>1</v>
      </c>
      <c r="L113" s="311">
        <f t="shared" si="42"/>
        <v>1</v>
      </c>
      <c r="M113" s="311">
        <f t="shared" si="42"/>
        <v>1</v>
      </c>
      <c r="N113" s="311">
        <f t="shared" si="42"/>
        <v>0</v>
      </c>
      <c r="O113" s="309">
        <f t="shared" si="3"/>
        <v>0.6</v>
      </c>
    </row>
    <row r="114" spans="2:15" ht="15" customHeight="1" x14ac:dyDescent="0.2">
      <c r="B114" s="743" t="s">
        <v>210</v>
      </c>
      <c r="C114" s="307" t="s">
        <v>114</v>
      </c>
      <c r="D114" s="312">
        <v>0</v>
      </c>
      <c r="E114" s="312">
        <v>0</v>
      </c>
      <c r="F114" s="312">
        <v>0</v>
      </c>
      <c r="G114" s="312">
        <v>0</v>
      </c>
      <c r="H114" s="312">
        <v>0</v>
      </c>
      <c r="I114" s="309">
        <f t="shared" ref="I114:I155" si="43">AVERAGE(D114:H114)</f>
        <v>0</v>
      </c>
      <c r="J114" s="312">
        <v>0</v>
      </c>
      <c r="K114" s="312">
        <v>0</v>
      </c>
      <c r="L114" s="312">
        <v>0</v>
      </c>
      <c r="M114" s="312">
        <v>0</v>
      </c>
      <c r="N114" s="312">
        <v>0</v>
      </c>
      <c r="O114" s="309">
        <f t="shared" ref="O114:O155" si="44">AVERAGE(J114:N114)</f>
        <v>0</v>
      </c>
    </row>
    <row r="115" spans="2:15" ht="15" customHeight="1" x14ac:dyDescent="0.2">
      <c r="B115" s="743"/>
      <c r="C115" s="307" t="s">
        <v>76</v>
      </c>
      <c r="D115" s="312">
        <v>0</v>
      </c>
      <c r="E115" s="312">
        <v>0</v>
      </c>
      <c r="F115" s="312">
        <v>0</v>
      </c>
      <c r="G115" s="312">
        <v>0</v>
      </c>
      <c r="H115" s="312">
        <v>0</v>
      </c>
      <c r="I115" s="309">
        <f t="shared" si="43"/>
        <v>0</v>
      </c>
      <c r="J115" s="312">
        <v>0</v>
      </c>
      <c r="K115" s="312">
        <v>0</v>
      </c>
      <c r="L115" s="312">
        <v>0</v>
      </c>
      <c r="M115" s="312">
        <v>0</v>
      </c>
      <c r="N115" s="312">
        <v>0</v>
      </c>
      <c r="O115" s="309">
        <f t="shared" si="44"/>
        <v>0</v>
      </c>
    </row>
    <row r="116" spans="2:15" ht="15" customHeight="1" x14ac:dyDescent="0.2">
      <c r="B116" s="743"/>
      <c r="C116" s="307" t="s">
        <v>74</v>
      </c>
      <c r="D116" s="312">
        <v>0</v>
      </c>
      <c r="E116" s="312">
        <v>0</v>
      </c>
      <c r="F116" s="312">
        <v>0</v>
      </c>
      <c r="G116" s="312">
        <v>0</v>
      </c>
      <c r="H116" s="312">
        <v>0</v>
      </c>
      <c r="I116" s="309">
        <f t="shared" si="43"/>
        <v>0</v>
      </c>
      <c r="J116" s="312">
        <v>0</v>
      </c>
      <c r="K116" s="312">
        <v>0</v>
      </c>
      <c r="L116" s="312">
        <v>0</v>
      </c>
      <c r="M116" s="312">
        <v>0</v>
      </c>
      <c r="N116" s="312">
        <v>0</v>
      </c>
      <c r="O116" s="309">
        <f t="shared" si="44"/>
        <v>0</v>
      </c>
    </row>
    <row r="117" spans="2:15" ht="15" customHeight="1" x14ac:dyDescent="0.2">
      <c r="B117" s="743"/>
      <c r="C117" s="310" t="s">
        <v>180</v>
      </c>
      <c r="D117" s="311">
        <f t="shared" ref="D117:H117" si="45">SUM(D114:D116)</f>
        <v>0</v>
      </c>
      <c r="E117" s="311">
        <f t="shared" si="45"/>
        <v>0</v>
      </c>
      <c r="F117" s="311">
        <f t="shared" si="45"/>
        <v>0</v>
      </c>
      <c r="G117" s="311">
        <f t="shared" si="45"/>
        <v>0</v>
      </c>
      <c r="H117" s="311">
        <f t="shared" si="45"/>
        <v>0</v>
      </c>
      <c r="I117" s="309">
        <f t="shared" si="43"/>
        <v>0</v>
      </c>
      <c r="J117" s="311">
        <f t="shared" ref="J117:N117" si="46">SUM(J114:J116)</f>
        <v>0</v>
      </c>
      <c r="K117" s="311">
        <f t="shared" si="46"/>
        <v>0</v>
      </c>
      <c r="L117" s="311">
        <f t="shared" si="46"/>
        <v>0</v>
      </c>
      <c r="M117" s="311">
        <f t="shared" si="46"/>
        <v>0</v>
      </c>
      <c r="N117" s="311">
        <f t="shared" si="46"/>
        <v>0</v>
      </c>
      <c r="O117" s="309">
        <f t="shared" si="44"/>
        <v>0</v>
      </c>
    </row>
    <row r="118" spans="2:15" ht="15" customHeight="1" x14ac:dyDescent="0.2">
      <c r="B118" s="743" t="s">
        <v>211</v>
      </c>
      <c r="C118" s="307" t="s">
        <v>114</v>
      </c>
      <c r="D118" s="312">
        <v>27</v>
      </c>
      <c r="E118" s="312">
        <v>33</v>
      </c>
      <c r="F118" s="312">
        <v>38</v>
      </c>
      <c r="G118" s="312">
        <v>43</v>
      </c>
      <c r="H118" s="312">
        <v>42</v>
      </c>
      <c r="I118" s="309">
        <f t="shared" si="43"/>
        <v>36.6</v>
      </c>
      <c r="J118" s="312">
        <v>0</v>
      </c>
      <c r="K118" s="312">
        <v>0</v>
      </c>
      <c r="L118" s="312">
        <v>1</v>
      </c>
      <c r="M118" s="312">
        <v>1</v>
      </c>
      <c r="N118" s="312">
        <v>0</v>
      </c>
      <c r="O118" s="309">
        <f t="shared" si="44"/>
        <v>0.4</v>
      </c>
    </row>
    <row r="119" spans="2:15" ht="15" customHeight="1" x14ac:dyDescent="0.2">
      <c r="B119" s="743"/>
      <c r="C119" s="307" t="s">
        <v>76</v>
      </c>
      <c r="D119" s="312">
        <v>5</v>
      </c>
      <c r="E119" s="312">
        <v>12</v>
      </c>
      <c r="F119" s="312">
        <v>11</v>
      </c>
      <c r="G119" s="312">
        <v>10</v>
      </c>
      <c r="H119" s="312">
        <v>16</v>
      </c>
      <c r="I119" s="309">
        <f t="shared" si="43"/>
        <v>10.8</v>
      </c>
      <c r="J119" s="312">
        <v>0</v>
      </c>
      <c r="K119" s="312">
        <v>0</v>
      </c>
      <c r="L119" s="312">
        <v>0</v>
      </c>
      <c r="M119" s="312">
        <v>0</v>
      </c>
      <c r="N119" s="312">
        <v>0</v>
      </c>
      <c r="O119" s="309">
        <f t="shared" si="44"/>
        <v>0</v>
      </c>
    </row>
    <row r="120" spans="2:15" ht="15" customHeight="1" x14ac:dyDescent="0.2">
      <c r="B120" s="743"/>
      <c r="C120" s="307" t="s">
        <v>74</v>
      </c>
      <c r="D120" s="312">
        <v>8</v>
      </c>
      <c r="E120" s="312">
        <v>9</v>
      </c>
      <c r="F120" s="312">
        <v>17</v>
      </c>
      <c r="G120" s="312">
        <v>11</v>
      </c>
      <c r="H120" s="312">
        <v>14</v>
      </c>
      <c r="I120" s="309">
        <f t="shared" si="43"/>
        <v>11.8</v>
      </c>
      <c r="J120" s="312">
        <v>0</v>
      </c>
      <c r="K120" s="312">
        <v>0</v>
      </c>
      <c r="L120" s="312">
        <v>0</v>
      </c>
      <c r="M120" s="312">
        <v>2</v>
      </c>
      <c r="N120" s="312">
        <v>2</v>
      </c>
      <c r="O120" s="309">
        <f t="shared" si="44"/>
        <v>0.8</v>
      </c>
    </row>
    <row r="121" spans="2:15" ht="15" customHeight="1" x14ac:dyDescent="0.2">
      <c r="B121" s="743"/>
      <c r="C121" s="310" t="s">
        <v>180</v>
      </c>
      <c r="D121" s="311">
        <f t="shared" ref="D121:H121" si="47">SUM(D118:D120)</f>
        <v>40</v>
      </c>
      <c r="E121" s="311">
        <f t="shared" si="47"/>
        <v>54</v>
      </c>
      <c r="F121" s="311">
        <f t="shared" si="47"/>
        <v>66</v>
      </c>
      <c r="G121" s="311">
        <f t="shared" si="47"/>
        <v>64</v>
      </c>
      <c r="H121" s="311">
        <f t="shared" si="47"/>
        <v>72</v>
      </c>
      <c r="I121" s="309">
        <f t="shared" si="43"/>
        <v>59.2</v>
      </c>
      <c r="J121" s="311">
        <f t="shared" ref="J121:N121" si="48">SUM(J118:J120)</f>
        <v>0</v>
      </c>
      <c r="K121" s="311">
        <f t="shared" si="48"/>
        <v>0</v>
      </c>
      <c r="L121" s="311">
        <f t="shared" si="48"/>
        <v>1</v>
      </c>
      <c r="M121" s="311">
        <f t="shared" si="48"/>
        <v>3</v>
      </c>
      <c r="N121" s="311">
        <f t="shared" si="48"/>
        <v>2</v>
      </c>
      <c r="O121" s="309">
        <f t="shared" si="44"/>
        <v>1.2</v>
      </c>
    </row>
    <row r="122" spans="2:15" ht="15" customHeight="1" x14ac:dyDescent="0.2">
      <c r="B122" s="743" t="s">
        <v>212</v>
      </c>
      <c r="C122" s="307" t="s">
        <v>114</v>
      </c>
      <c r="D122" s="312">
        <v>25</v>
      </c>
      <c r="E122" s="312">
        <v>30</v>
      </c>
      <c r="F122" s="312">
        <v>26</v>
      </c>
      <c r="G122" s="312">
        <v>27</v>
      </c>
      <c r="H122" s="312">
        <v>36</v>
      </c>
      <c r="I122" s="309">
        <f t="shared" si="43"/>
        <v>28.8</v>
      </c>
      <c r="J122" s="312">
        <v>0</v>
      </c>
      <c r="K122" s="312">
        <v>0</v>
      </c>
      <c r="L122" s="312">
        <v>0</v>
      </c>
      <c r="M122" s="312">
        <v>0</v>
      </c>
      <c r="N122" s="312">
        <v>1</v>
      </c>
      <c r="O122" s="309">
        <f t="shared" si="44"/>
        <v>0.2</v>
      </c>
    </row>
    <row r="123" spans="2:15" ht="15" customHeight="1" x14ac:dyDescent="0.2">
      <c r="B123" s="743"/>
      <c r="C123" s="307" t="s">
        <v>76</v>
      </c>
      <c r="D123" s="312">
        <v>7</v>
      </c>
      <c r="E123" s="312">
        <v>14</v>
      </c>
      <c r="F123" s="312">
        <v>8</v>
      </c>
      <c r="G123" s="312">
        <v>16</v>
      </c>
      <c r="H123" s="312">
        <v>21</v>
      </c>
      <c r="I123" s="309">
        <f t="shared" si="43"/>
        <v>13.2</v>
      </c>
      <c r="J123" s="312">
        <v>0</v>
      </c>
      <c r="K123" s="312">
        <v>0</v>
      </c>
      <c r="L123" s="312">
        <v>0</v>
      </c>
      <c r="M123" s="312">
        <v>0</v>
      </c>
      <c r="N123" s="312">
        <v>0</v>
      </c>
      <c r="O123" s="309">
        <f t="shared" si="44"/>
        <v>0</v>
      </c>
    </row>
    <row r="124" spans="2:15" ht="15" customHeight="1" x14ac:dyDescent="0.2">
      <c r="B124" s="743"/>
      <c r="C124" s="307" t="s">
        <v>74</v>
      </c>
      <c r="D124" s="312">
        <v>6</v>
      </c>
      <c r="E124" s="312">
        <v>19</v>
      </c>
      <c r="F124" s="312">
        <v>12</v>
      </c>
      <c r="G124" s="312">
        <v>12</v>
      </c>
      <c r="H124" s="312">
        <v>16</v>
      </c>
      <c r="I124" s="309">
        <f t="shared" si="43"/>
        <v>13</v>
      </c>
      <c r="J124" s="312">
        <v>0</v>
      </c>
      <c r="K124" s="312">
        <v>1</v>
      </c>
      <c r="L124" s="312">
        <v>0</v>
      </c>
      <c r="M124" s="312">
        <v>0</v>
      </c>
      <c r="N124" s="312">
        <v>0</v>
      </c>
      <c r="O124" s="309">
        <f t="shared" si="44"/>
        <v>0.2</v>
      </c>
    </row>
    <row r="125" spans="2:15" ht="15" customHeight="1" x14ac:dyDescent="0.2">
      <c r="B125" s="743"/>
      <c r="C125" s="310" t="s">
        <v>180</v>
      </c>
      <c r="D125" s="311">
        <f t="shared" ref="D125:H125" si="49">SUM(D122:D124)</f>
        <v>38</v>
      </c>
      <c r="E125" s="311">
        <f t="shared" si="49"/>
        <v>63</v>
      </c>
      <c r="F125" s="311">
        <f t="shared" si="49"/>
        <v>46</v>
      </c>
      <c r="G125" s="311">
        <f t="shared" si="49"/>
        <v>55</v>
      </c>
      <c r="H125" s="311">
        <f t="shared" si="49"/>
        <v>73</v>
      </c>
      <c r="I125" s="309">
        <f t="shared" si="43"/>
        <v>55</v>
      </c>
      <c r="J125" s="311">
        <f t="shared" ref="J125:N125" si="50">SUM(J122:J124)</f>
        <v>0</v>
      </c>
      <c r="K125" s="311">
        <f t="shared" si="50"/>
        <v>1</v>
      </c>
      <c r="L125" s="311">
        <f t="shared" si="50"/>
        <v>0</v>
      </c>
      <c r="M125" s="311">
        <f t="shared" si="50"/>
        <v>0</v>
      </c>
      <c r="N125" s="311">
        <f t="shared" si="50"/>
        <v>1</v>
      </c>
      <c r="O125" s="309">
        <f t="shared" si="44"/>
        <v>0.4</v>
      </c>
    </row>
    <row r="126" spans="2:15" ht="15" customHeight="1" x14ac:dyDescent="0.2">
      <c r="B126" s="743" t="s">
        <v>213</v>
      </c>
      <c r="C126" s="307" t="s">
        <v>114</v>
      </c>
      <c r="D126" s="312">
        <v>0</v>
      </c>
      <c r="E126" s="312">
        <v>7</v>
      </c>
      <c r="F126" s="312">
        <v>6</v>
      </c>
      <c r="G126" s="312">
        <v>3</v>
      </c>
      <c r="H126" s="312">
        <v>30</v>
      </c>
      <c r="I126" s="309">
        <f t="shared" si="43"/>
        <v>9.1999999999999993</v>
      </c>
      <c r="J126" s="308">
        <v>0</v>
      </c>
      <c r="K126" s="308">
        <v>2</v>
      </c>
      <c r="L126" s="308">
        <v>1</v>
      </c>
      <c r="M126" s="308">
        <v>1</v>
      </c>
      <c r="N126" s="308">
        <v>0</v>
      </c>
      <c r="O126" s="309">
        <f t="shared" si="44"/>
        <v>0.8</v>
      </c>
    </row>
    <row r="127" spans="2:15" ht="15" customHeight="1" x14ac:dyDescent="0.2">
      <c r="B127" s="743"/>
      <c r="C127" s="307" t="s">
        <v>76</v>
      </c>
      <c r="D127" s="312">
        <v>3</v>
      </c>
      <c r="E127" s="312">
        <v>7</v>
      </c>
      <c r="F127" s="312">
        <v>8</v>
      </c>
      <c r="G127" s="312">
        <v>1</v>
      </c>
      <c r="H127" s="312">
        <v>21</v>
      </c>
      <c r="I127" s="309">
        <f t="shared" si="43"/>
        <v>8</v>
      </c>
      <c r="J127" s="308">
        <v>1</v>
      </c>
      <c r="K127" s="308">
        <v>1</v>
      </c>
      <c r="L127" s="308">
        <v>1</v>
      </c>
      <c r="M127" s="308">
        <v>1</v>
      </c>
      <c r="N127" s="308">
        <v>0</v>
      </c>
      <c r="O127" s="309">
        <f t="shared" si="44"/>
        <v>0.8</v>
      </c>
    </row>
    <row r="128" spans="2:15" ht="15" customHeight="1" x14ac:dyDescent="0.2">
      <c r="B128" s="743"/>
      <c r="C128" s="307" t="s">
        <v>74</v>
      </c>
      <c r="D128" s="312">
        <v>10</v>
      </c>
      <c r="E128" s="312">
        <v>6</v>
      </c>
      <c r="F128" s="312">
        <v>11</v>
      </c>
      <c r="G128" s="312">
        <v>0</v>
      </c>
      <c r="H128" s="312">
        <v>25</v>
      </c>
      <c r="I128" s="309">
        <f t="shared" si="43"/>
        <v>10.4</v>
      </c>
      <c r="J128" s="308">
        <v>0</v>
      </c>
      <c r="K128" s="308">
        <v>0</v>
      </c>
      <c r="L128" s="308">
        <v>1</v>
      </c>
      <c r="M128" s="308">
        <v>0</v>
      </c>
      <c r="N128" s="308">
        <v>0</v>
      </c>
      <c r="O128" s="309">
        <f t="shared" si="44"/>
        <v>0.2</v>
      </c>
    </row>
    <row r="129" spans="2:15" ht="15" customHeight="1" x14ac:dyDescent="0.2">
      <c r="B129" s="743"/>
      <c r="C129" s="310" t="s">
        <v>180</v>
      </c>
      <c r="D129" s="311">
        <f t="shared" ref="D129:H129" si="51">SUM(D126:D128)</f>
        <v>13</v>
      </c>
      <c r="E129" s="311">
        <f t="shared" si="51"/>
        <v>20</v>
      </c>
      <c r="F129" s="311">
        <f t="shared" si="51"/>
        <v>25</v>
      </c>
      <c r="G129" s="311">
        <f t="shared" si="51"/>
        <v>4</v>
      </c>
      <c r="H129" s="311">
        <f t="shared" si="51"/>
        <v>76</v>
      </c>
      <c r="I129" s="309">
        <f t="shared" si="43"/>
        <v>27.6</v>
      </c>
      <c r="J129" s="311">
        <f t="shared" ref="J129:N129" si="52">SUM(J126:J128)</f>
        <v>1</v>
      </c>
      <c r="K129" s="311">
        <f t="shared" si="52"/>
        <v>3</v>
      </c>
      <c r="L129" s="311">
        <f t="shared" si="52"/>
        <v>3</v>
      </c>
      <c r="M129" s="311">
        <f t="shared" si="52"/>
        <v>2</v>
      </c>
      <c r="N129" s="311">
        <f t="shared" si="52"/>
        <v>0</v>
      </c>
      <c r="O129" s="309">
        <f t="shared" si="44"/>
        <v>1.8</v>
      </c>
    </row>
    <row r="130" spans="2:15" ht="15" customHeight="1" x14ac:dyDescent="0.2">
      <c r="B130" s="317" t="s">
        <v>214</v>
      </c>
      <c r="C130" s="318" t="s">
        <v>180</v>
      </c>
      <c r="D130" s="509">
        <f t="shared" ref="D130:H130" si="53">SUM(D134,D138,D142,D146,D150,D154)</f>
        <v>324</v>
      </c>
      <c r="E130" s="509">
        <f t="shared" si="53"/>
        <v>264</v>
      </c>
      <c r="F130" s="508">
        <f t="shared" si="53"/>
        <v>281</v>
      </c>
      <c r="G130" s="508">
        <f t="shared" si="53"/>
        <v>306</v>
      </c>
      <c r="H130" s="508">
        <f t="shared" si="53"/>
        <v>288</v>
      </c>
      <c r="I130" s="309">
        <f t="shared" si="43"/>
        <v>292.60000000000002</v>
      </c>
      <c r="J130" s="509">
        <f t="shared" ref="J130:N130" si="54">SUM(J134,J138,J142,J146,J150,J154)</f>
        <v>2</v>
      </c>
      <c r="K130" s="509">
        <f t="shared" si="54"/>
        <v>1</v>
      </c>
      <c r="L130" s="509">
        <f t="shared" si="54"/>
        <v>2</v>
      </c>
      <c r="M130" s="509">
        <f t="shared" si="54"/>
        <v>0</v>
      </c>
      <c r="N130" s="509">
        <f t="shared" si="54"/>
        <v>1</v>
      </c>
      <c r="O130" s="309">
        <f t="shared" si="44"/>
        <v>1.2</v>
      </c>
    </row>
    <row r="131" spans="2:15" ht="15" customHeight="1" x14ac:dyDescent="0.2">
      <c r="B131" s="741" t="s">
        <v>215</v>
      </c>
      <c r="C131" s="63" t="s">
        <v>114</v>
      </c>
      <c r="D131" s="312">
        <v>4</v>
      </c>
      <c r="E131" s="312">
        <v>1</v>
      </c>
      <c r="F131" s="312">
        <v>1</v>
      </c>
      <c r="G131" s="312">
        <v>1</v>
      </c>
      <c r="H131" s="312">
        <v>0</v>
      </c>
      <c r="I131" s="309">
        <f t="shared" si="43"/>
        <v>1.4</v>
      </c>
      <c r="J131" s="312">
        <v>0</v>
      </c>
      <c r="K131" s="312">
        <v>1</v>
      </c>
      <c r="L131" s="312">
        <v>1</v>
      </c>
      <c r="M131" s="312">
        <v>0</v>
      </c>
      <c r="N131" s="312">
        <v>0</v>
      </c>
      <c r="O131" s="309">
        <f t="shared" si="44"/>
        <v>0.4</v>
      </c>
    </row>
    <row r="132" spans="2:15" ht="15" customHeight="1" x14ac:dyDescent="0.2">
      <c r="B132" s="741"/>
      <c r="C132" s="63" t="s">
        <v>76</v>
      </c>
      <c r="D132" s="312">
        <v>4</v>
      </c>
      <c r="E132" s="312">
        <v>0</v>
      </c>
      <c r="F132" s="312">
        <v>3</v>
      </c>
      <c r="G132" s="312">
        <v>0</v>
      </c>
      <c r="H132" s="312">
        <v>0</v>
      </c>
      <c r="I132" s="309">
        <f t="shared" si="43"/>
        <v>1.4</v>
      </c>
      <c r="J132" s="312">
        <v>0</v>
      </c>
      <c r="K132" s="312">
        <v>0</v>
      </c>
      <c r="L132" s="312">
        <v>1</v>
      </c>
      <c r="M132" s="312">
        <v>0</v>
      </c>
      <c r="N132" s="312">
        <v>0</v>
      </c>
      <c r="O132" s="309">
        <f t="shared" si="44"/>
        <v>0.2</v>
      </c>
    </row>
    <row r="133" spans="2:15" ht="15" customHeight="1" x14ac:dyDescent="0.2">
      <c r="B133" s="741"/>
      <c r="C133" s="63" t="s">
        <v>74</v>
      </c>
      <c r="D133" s="312">
        <v>0</v>
      </c>
      <c r="E133" s="312">
        <v>1</v>
      </c>
      <c r="F133" s="312">
        <v>0</v>
      </c>
      <c r="G133" s="312">
        <v>1</v>
      </c>
      <c r="H133" s="312">
        <v>0</v>
      </c>
      <c r="I133" s="309">
        <f t="shared" si="43"/>
        <v>0.4</v>
      </c>
      <c r="J133" s="312">
        <v>0</v>
      </c>
      <c r="K133" s="312">
        <v>0</v>
      </c>
      <c r="L133" s="312">
        <v>0</v>
      </c>
      <c r="M133" s="312">
        <v>0</v>
      </c>
      <c r="N133" s="312">
        <v>0</v>
      </c>
      <c r="O133" s="309">
        <f t="shared" si="44"/>
        <v>0</v>
      </c>
    </row>
    <row r="134" spans="2:15" ht="15" customHeight="1" x14ac:dyDescent="0.2">
      <c r="B134" s="741"/>
      <c r="C134" s="310" t="s">
        <v>180</v>
      </c>
      <c r="D134" s="311">
        <f t="shared" ref="D134:H134" si="55">SUM(D131:D133)</f>
        <v>8</v>
      </c>
      <c r="E134" s="311">
        <f t="shared" si="55"/>
        <v>2</v>
      </c>
      <c r="F134" s="311">
        <f t="shared" si="55"/>
        <v>4</v>
      </c>
      <c r="G134" s="311">
        <f t="shared" si="55"/>
        <v>2</v>
      </c>
      <c r="H134" s="311">
        <f t="shared" si="55"/>
        <v>0</v>
      </c>
      <c r="I134" s="309">
        <f t="shared" si="43"/>
        <v>3.2</v>
      </c>
      <c r="J134" s="311">
        <f t="shared" ref="J134:N134" si="56">SUM(J131:J133)</f>
        <v>0</v>
      </c>
      <c r="K134" s="311">
        <f t="shared" si="56"/>
        <v>1</v>
      </c>
      <c r="L134" s="311">
        <f t="shared" si="56"/>
        <v>2</v>
      </c>
      <c r="M134" s="311">
        <f t="shared" si="56"/>
        <v>0</v>
      </c>
      <c r="N134" s="311">
        <f t="shared" si="56"/>
        <v>0</v>
      </c>
      <c r="O134" s="309">
        <f t="shared" si="44"/>
        <v>0.6</v>
      </c>
    </row>
    <row r="135" spans="2:15" ht="15" customHeight="1" x14ac:dyDescent="0.2">
      <c r="B135" s="741" t="s">
        <v>216</v>
      </c>
      <c r="C135" s="63" t="s">
        <v>114</v>
      </c>
      <c r="D135" s="312">
        <v>0</v>
      </c>
      <c r="E135" s="312">
        <v>0</v>
      </c>
      <c r="F135" s="312">
        <v>2</v>
      </c>
      <c r="G135" s="312">
        <v>0</v>
      </c>
      <c r="H135" s="312">
        <v>4</v>
      </c>
      <c r="I135" s="309">
        <f t="shared" si="43"/>
        <v>1.2</v>
      </c>
      <c r="J135" s="312">
        <v>0</v>
      </c>
      <c r="K135" s="312">
        <v>0</v>
      </c>
      <c r="L135" s="312">
        <v>0</v>
      </c>
      <c r="M135" s="312">
        <v>0</v>
      </c>
      <c r="N135" s="312">
        <v>0</v>
      </c>
      <c r="O135" s="309">
        <f t="shared" si="44"/>
        <v>0</v>
      </c>
    </row>
    <row r="136" spans="2:15" ht="15" customHeight="1" x14ac:dyDescent="0.2">
      <c r="B136" s="741"/>
      <c r="C136" s="63" t="s">
        <v>76</v>
      </c>
      <c r="D136" s="312">
        <v>0</v>
      </c>
      <c r="E136" s="312">
        <v>0</v>
      </c>
      <c r="F136" s="312">
        <v>0</v>
      </c>
      <c r="G136" s="312">
        <v>0</v>
      </c>
      <c r="H136" s="312">
        <v>1</v>
      </c>
      <c r="I136" s="309">
        <f t="shared" si="43"/>
        <v>0.2</v>
      </c>
      <c r="J136" s="312">
        <v>0</v>
      </c>
      <c r="K136" s="312">
        <v>0</v>
      </c>
      <c r="L136" s="312">
        <v>0</v>
      </c>
      <c r="M136" s="312">
        <v>0</v>
      </c>
      <c r="N136" s="312">
        <v>0</v>
      </c>
      <c r="O136" s="309">
        <f t="shared" si="44"/>
        <v>0</v>
      </c>
    </row>
    <row r="137" spans="2:15" ht="15" customHeight="1" x14ac:dyDescent="0.2">
      <c r="B137" s="741"/>
      <c r="C137" s="63" t="s">
        <v>74</v>
      </c>
      <c r="D137" s="312">
        <v>0</v>
      </c>
      <c r="E137" s="312">
        <v>0</v>
      </c>
      <c r="F137" s="312">
        <v>0</v>
      </c>
      <c r="G137" s="312">
        <v>0</v>
      </c>
      <c r="H137" s="312">
        <v>0</v>
      </c>
      <c r="I137" s="309">
        <f t="shared" si="43"/>
        <v>0</v>
      </c>
      <c r="J137" s="312">
        <v>0</v>
      </c>
      <c r="K137" s="312">
        <v>0</v>
      </c>
      <c r="L137" s="312">
        <v>0</v>
      </c>
      <c r="M137" s="312">
        <v>0</v>
      </c>
      <c r="N137" s="312">
        <v>0</v>
      </c>
      <c r="O137" s="309">
        <f t="shared" si="44"/>
        <v>0</v>
      </c>
    </row>
    <row r="138" spans="2:15" ht="15" customHeight="1" x14ac:dyDescent="0.2">
      <c r="B138" s="741"/>
      <c r="C138" s="310" t="s">
        <v>180</v>
      </c>
      <c r="D138" s="311">
        <f t="shared" ref="D138:H138" si="57">SUM(D135:D137)</f>
        <v>0</v>
      </c>
      <c r="E138" s="311">
        <f t="shared" si="57"/>
        <v>0</v>
      </c>
      <c r="F138" s="311">
        <f t="shared" si="57"/>
        <v>2</v>
      </c>
      <c r="G138" s="311">
        <f t="shared" si="57"/>
        <v>0</v>
      </c>
      <c r="H138" s="311">
        <f t="shared" si="57"/>
        <v>5</v>
      </c>
      <c r="I138" s="309">
        <f t="shared" si="43"/>
        <v>1.4</v>
      </c>
      <c r="J138" s="311">
        <f t="shared" ref="J138:N138" si="58">SUM(J135:J137)</f>
        <v>0</v>
      </c>
      <c r="K138" s="311">
        <f t="shared" si="58"/>
        <v>0</v>
      </c>
      <c r="L138" s="311">
        <f t="shared" si="58"/>
        <v>0</v>
      </c>
      <c r="M138" s="311">
        <f t="shared" si="58"/>
        <v>0</v>
      </c>
      <c r="N138" s="311">
        <f t="shared" si="58"/>
        <v>0</v>
      </c>
      <c r="O138" s="309">
        <f t="shared" si="44"/>
        <v>0</v>
      </c>
    </row>
    <row r="139" spans="2:15" ht="15" customHeight="1" x14ac:dyDescent="0.2">
      <c r="B139" s="741" t="s">
        <v>217</v>
      </c>
      <c r="C139" s="63" t="s">
        <v>114</v>
      </c>
      <c r="D139" s="312">
        <v>2</v>
      </c>
      <c r="E139" s="312">
        <v>2</v>
      </c>
      <c r="F139" s="312">
        <v>3</v>
      </c>
      <c r="G139" s="312">
        <v>11</v>
      </c>
      <c r="H139" s="312">
        <v>7</v>
      </c>
      <c r="I139" s="309">
        <f t="shared" si="43"/>
        <v>5</v>
      </c>
      <c r="J139" s="312">
        <v>0</v>
      </c>
      <c r="K139" s="312">
        <v>0</v>
      </c>
      <c r="L139" s="312">
        <v>0</v>
      </c>
      <c r="M139" s="312">
        <v>0</v>
      </c>
      <c r="N139" s="312">
        <v>0</v>
      </c>
      <c r="O139" s="309">
        <f t="shared" si="44"/>
        <v>0</v>
      </c>
    </row>
    <row r="140" spans="2:15" ht="15" customHeight="1" x14ac:dyDescent="0.2">
      <c r="B140" s="741"/>
      <c r="C140" s="63" t="s">
        <v>76</v>
      </c>
      <c r="D140" s="312">
        <v>2</v>
      </c>
      <c r="E140" s="312">
        <v>4</v>
      </c>
      <c r="F140" s="312">
        <v>2</v>
      </c>
      <c r="G140" s="312">
        <v>7</v>
      </c>
      <c r="H140" s="312">
        <v>3</v>
      </c>
      <c r="I140" s="309">
        <f t="shared" si="43"/>
        <v>3.6</v>
      </c>
      <c r="J140" s="312">
        <v>0</v>
      </c>
      <c r="K140" s="312">
        <v>0</v>
      </c>
      <c r="L140" s="312">
        <v>0</v>
      </c>
      <c r="M140" s="312">
        <v>0</v>
      </c>
      <c r="N140" s="312">
        <v>0</v>
      </c>
      <c r="O140" s="309">
        <f t="shared" si="44"/>
        <v>0</v>
      </c>
    </row>
    <row r="141" spans="2:15" ht="15" customHeight="1" x14ac:dyDescent="0.2">
      <c r="B141" s="741"/>
      <c r="C141" s="63" t="s">
        <v>74</v>
      </c>
      <c r="D141" s="312">
        <v>1</v>
      </c>
      <c r="E141" s="312">
        <v>3</v>
      </c>
      <c r="F141" s="312">
        <v>4</v>
      </c>
      <c r="G141" s="312">
        <v>12</v>
      </c>
      <c r="H141" s="312">
        <v>8</v>
      </c>
      <c r="I141" s="309">
        <f t="shared" si="43"/>
        <v>5.6</v>
      </c>
      <c r="J141" s="312">
        <v>0</v>
      </c>
      <c r="K141" s="312">
        <v>0</v>
      </c>
      <c r="L141" s="312">
        <v>0</v>
      </c>
      <c r="M141" s="312">
        <v>0</v>
      </c>
      <c r="N141" s="312">
        <v>0</v>
      </c>
      <c r="O141" s="309">
        <f t="shared" si="44"/>
        <v>0</v>
      </c>
    </row>
    <row r="142" spans="2:15" ht="15" customHeight="1" x14ac:dyDescent="0.2">
      <c r="B142" s="741"/>
      <c r="C142" s="310" t="s">
        <v>180</v>
      </c>
      <c r="D142" s="311">
        <f t="shared" ref="D142:H142" si="59">SUM(D139:D141)</f>
        <v>5</v>
      </c>
      <c r="E142" s="311">
        <f t="shared" si="59"/>
        <v>9</v>
      </c>
      <c r="F142" s="311">
        <f t="shared" si="59"/>
        <v>9</v>
      </c>
      <c r="G142" s="311">
        <f t="shared" si="59"/>
        <v>30</v>
      </c>
      <c r="H142" s="311">
        <f t="shared" si="59"/>
        <v>18</v>
      </c>
      <c r="I142" s="309">
        <f t="shared" si="43"/>
        <v>14.2</v>
      </c>
      <c r="J142" s="311">
        <f t="shared" ref="J142:N142" si="60">SUM(J139:J141)</f>
        <v>0</v>
      </c>
      <c r="K142" s="311">
        <f t="shared" si="60"/>
        <v>0</v>
      </c>
      <c r="L142" s="311">
        <f t="shared" si="60"/>
        <v>0</v>
      </c>
      <c r="M142" s="311">
        <f t="shared" si="60"/>
        <v>0</v>
      </c>
      <c r="N142" s="311">
        <f t="shared" si="60"/>
        <v>0</v>
      </c>
      <c r="O142" s="309">
        <f t="shared" si="44"/>
        <v>0</v>
      </c>
    </row>
    <row r="143" spans="2:15" ht="15" customHeight="1" x14ac:dyDescent="0.2">
      <c r="B143" s="742" t="s">
        <v>218</v>
      </c>
      <c r="C143" s="63" t="s">
        <v>114</v>
      </c>
      <c r="D143" s="312">
        <v>0</v>
      </c>
      <c r="E143" s="312">
        <v>2</v>
      </c>
      <c r="F143" s="312">
        <v>0</v>
      </c>
      <c r="G143" s="312">
        <v>1</v>
      </c>
      <c r="H143" s="312">
        <v>4</v>
      </c>
      <c r="I143" s="309">
        <f t="shared" si="43"/>
        <v>1.4</v>
      </c>
      <c r="J143" s="312">
        <v>1</v>
      </c>
      <c r="K143" s="312">
        <v>0</v>
      </c>
      <c r="L143" s="312">
        <v>0</v>
      </c>
      <c r="M143" s="312">
        <v>0</v>
      </c>
      <c r="N143" s="312">
        <v>0</v>
      </c>
      <c r="O143" s="309">
        <f t="shared" si="44"/>
        <v>0.2</v>
      </c>
    </row>
    <row r="144" spans="2:15" ht="15" customHeight="1" x14ac:dyDescent="0.2">
      <c r="B144" s="742"/>
      <c r="C144" s="63" t="s">
        <v>76</v>
      </c>
      <c r="D144" s="312">
        <v>0</v>
      </c>
      <c r="E144" s="312">
        <v>0</v>
      </c>
      <c r="F144" s="312">
        <v>1</v>
      </c>
      <c r="G144" s="312">
        <v>3</v>
      </c>
      <c r="H144" s="312">
        <v>1</v>
      </c>
      <c r="I144" s="309">
        <f t="shared" si="43"/>
        <v>1</v>
      </c>
      <c r="J144" s="312">
        <v>0</v>
      </c>
      <c r="K144" s="312">
        <v>0</v>
      </c>
      <c r="L144" s="312">
        <v>0</v>
      </c>
      <c r="M144" s="312">
        <v>0</v>
      </c>
      <c r="N144" s="312">
        <v>1</v>
      </c>
      <c r="O144" s="309">
        <f t="shared" si="44"/>
        <v>0.2</v>
      </c>
    </row>
    <row r="145" spans="2:16" ht="15" customHeight="1" x14ac:dyDescent="0.2">
      <c r="B145" s="742"/>
      <c r="C145" s="63" t="s">
        <v>74</v>
      </c>
      <c r="D145" s="312">
        <v>1</v>
      </c>
      <c r="E145" s="312">
        <v>1</v>
      </c>
      <c r="F145" s="312">
        <v>1</v>
      </c>
      <c r="G145" s="312">
        <v>2</v>
      </c>
      <c r="H145" s="312">
        <v>1</v>
      </c>
      <c r="I145" s="309">
        <f t="shared" si="43"/>
        <v>1.2</v>
      </c>
      <c r="J145" s="312">
        <v>0</v>
      </c>
      <c r="K145" s="312">
        <v>0</v>
      </c>
      <c r="L145" s="312">
        <v>0</v>
      </c>
      <c r="M145" s="312">
        <v>0</v>
      </c>
      <c r="N145" s="312">
        <v>0</v>
      </c>
      <c r="O145" s="309">
        <f t="shared" si="44"/>
        <v>0</v>
      </c>
    </row>
    <row r="146" spans="2:16" ht="15" customHeight="1" x14ac:dyDescent="0.2">
      <c r="B146" s="742"/>
      <c r="C146" s="310" t="s">
        <v>180</v>
      </c>
      <c r="D146" s="311">
        <f t="shared" ref="D146:H146" si="61">SUM(D143:D145)</f>
        <v>1</v>
      </c>
      <c r="E146" s="311">
        <f t="shared" si="61"/>
        <v>3</v>
      </c>
      <c r="F146" s="311">
        <f t="shared" si="61"/>
        <v>2</v>
      </c>
      <c r="G146" s="311">
        <f t="shared" si="61"/>
        <v>6</v>
      </c>
      <c r="H146" s="311">
        <f t="shared" si="61"/>
        <v>6</v>
      </c>
      <c r="I146" s="309">
        <f t="shared" si="43"/>
        <v>3.6</v>
      </c>
      <c r="J146" s="311">
        <f t="shared" ref="J146:N146" si="62">SUM(J143:J145)</f>
        <v>1</v>
      </c>
      <c r="K146" s="311">
        <f t="shared" si="62"/>
        <v>0</v>
      </c>
      <c r="L146" s="311">
        <f t="shared" si="62"/>
        <v>0</v>
      </c>
      <c r="M146" s="311">
        <f t="shared" si="62"/>
        <v>0</v>
      </c>
      <c r="N146" s="311">
        <f t="shared" si="62"/>
        <v>1</v>
      </c>
      <c r="O146" s="309">
        <f t="shared" si="44"/>
        <v>0.4</v>
      </c>
    </row>
    <row r="147" spans="2:16" ht="15" customHeight="1" x14ac:dyDescent="0.2">
      <c r="B147" s="742" t="s">
        <v>219</v>
      </c>
      <c r="C147" s="320" t="s">
        <v>114</v>
      </c>
      <c r="D147" s="321">
        <v>0</v>
      </c>
      <c r="E147" s="321">
        <v>1</v>
      </c>
      <c r="F147" s="321">
        <v>0</v>
      </c>
      <c r="G147" s="321">
        <v>0</v>
      </c>
      <c r="H147" s="312">
        <v>0</v>
      </c>
      <c r="I147" s="309">
        <f t="shared" si="43"/>
        <v>0.2</v>
      </c>
      <c r="J147" s="312">
        <v>0</v>
      </c>
      <c r="K147" s="312">
        <v>0</v>
      </c>
      <c r="L147" s="312">
        <v>0</v>
      </c>
      <c r="M147" s="312">
        <v>0</v>
      </c>
      <c r="N147" s="312">
        <v>0</v>
      </c>
      <c r="O147" s="309">
        <f t="shared" si="44"/>
        <v>0</v>
      </c>
    </row>
    <row r="148" spans="2:16" ht="15" customHeight="1" x14ac:dyDescent="0.2">
      <c r="B148" s="742"/>
      <c r="C148" s="307" t="s">
        <v>76</v>
      </c>
      <c r="D148" s="312">
        <v>0</v>
      </c>
      <c r="E148" s="312">
        <v>0</v>
      </c>
      <c r="F148" s="312">
        <v>0</v>
      </c>
      <c r="G148" s="312">
        <v>0</v>
      </c>
      <c r="H148" s="312">
        <v>0</v>
      </c>
      <c r="I148" s="309">
        <f t="shared" si="43"/>
        <v>0</v>
      </c>
      <c r="J148" s="312">
        <v>0</v>
      </c>
      <c r="K148" s="312">
        <v>0</v>
      </c>
      <c r="L148" s="312">
        <v>0</v>
      </c>
      <c r="M148" s="312">
        <v>0</v>
      </c>
      <c r="N148" s="312">
        <v>0</v>
      </c>
      <c r="O148" s="309">
        <f t="shared" si="44"/>
        <v>0</v>
      </c>
    </row>
    <row r="149" spans="2:16" ht="15" customHeight="1" x14ac:dyDescent="0.2">
      <c r="B149" s="742"/>
      <c r="C149" s="322" t="s">
        <v>74</v>
      </c>
      <c r="D149" s="323">
        <v>0</v>
      </c>
      <c r="E149" s="323">
        <v>0</v>
      </c>
      <c r="F149" s="323">
        <v>0</v>
      </c>
      <c r="G149" s="323">
        <v>2</v>
      </c>
      <c r="H149" s="312">
        <v>0</v>
      </c>
      <c r="I149" s="309">
        <f t="shared" si="43"/>
        <v>0.4</v>
      </c>
      <c r="J149" s="312">
        <v>0</v>
      </c>
      <c r="K149" s="312">
        <v>0</v>
      </c>
      <c r="L149" s="312">
        <v>0</v>
      </c>
      <c r="M149" s="312">
        <v>0</v>
      </c>
      <c r="N149" s="312">
        <v>0</v>
      </c>
      <c r="O149" s="309">
        <f t="shared" si="44"/>
        <v>0</v>
      </c>
    </row>
    <row r="150" spans="2:16" ht="15" customHeight="1" x14ac:dyDescent="0.2">
      <c r="B150" s="742"/>
      <c r="C150" s="310" t="s">
        <v>180</v>
      </c>
      <c r="D150" s="311">
        <f t="shared" ref="D150:H150" si="63">SUM(D147:D149)</f>
        <v>0</v>
      </c>
      <c r="E150" s="311">
        <f t="shared" si="63"/>
        <v>1</v>
      </c>
      <c r="F150" s="311">
        <f t="shared" si="63"/>
        <v>0</v>
      </c>
      <c r="G150" s="311">
        <f t="shared" si="63"/>
        <v>2</v>
      </c>
      <c r="H150" s="311">
        <f t="shared" si="63"/>
        <v>0</v>
      </c>
      <c r="I150" s="309">
        <f t="shared" si="43"/>
        <v>0.6</v>
      </c>
      <c r="J150" s="311">
        <f t="shared" ref="J150:N150" si="64">SUM(J147:J149)</f>
        <v>0</v>
      </c>
      <c r="K150" s="311">
        <f t="shared" si="64"/>
        <v>0</v>
      </c>
      <c r="L150" s="311">
        <f t="shared" si="64"/>
        <v>0</v>
      </c>
      <c r="M150" s="311">
        <f t="shared" si="64"/>
        <v>0</v>
      </c>
      <c r="N150" s="311">
        <f t="shared" si="64"/>
        <v>0</v>
      </c>
      <c r="O150" s="309">
        <f t="shared" si="44"/>
        <v>0</v>
      </c>
    </row>
    <row r="151" spans="2:16" ht="15" customHeight="1" x14ac:dyDescent="0.2">
      <c r="B151" s="741" t="s">
        <v>220</v>
      </c>
      <c r="C151" s="63" t="s">
        <v>114</v>
      </c>
      <c r="D151" s="312">
        <v>169</v>
      </c>
      <c r="E151" s="312">
        <v>136</v>
      </c>
      <c r="F151" s="312">
        <v>119</v>
      </c>
      <c r="G151" s="312">
        <v>139</v>
      </c>
      <c r="H151" s="312">
        <v>147</v>
      </c>
      <c r="I151" s="309">
        <f t="shared" si="43"/>
        <v>142</v>
      </c>
      <c r="J151" s="312">
        <v>0</v>
      </c>
      <c r="K151" s="312">
        <v>0</v>
      </c>
      <c r="L151" s="312">
        <v>0</v>
      </c>
      <c r="M151" s="312">
        <v>0</v>
      </c>
      <c r="N151" s="312">
        <v>0</v>
      </c>
      <c r="O151" s="309">
        <f t="shared" si="44"/>
        <v>0</v>
      </c>
    </row>
    <row r="152" spans="2:16" ht="15" customHeight="1" x14ac:dyDescent="0.2">
      <c r="B152" s="741"/>
      <c r="C152" s="63" t="s">
        <v>76</v>
      </c>
      <c r="D152" s="312">
        <v>69</v>
      </c>
      <c r="E152" s="312">
        <v>38</v>
      </c>
      <c r="F152" s="312">
        <v>67</v>
      </c>
      <c r="G152" s="312">
        <v>63</v>
      </c>
      <c r="H152" s="312">
        <v>52</v>
      </c>
      <c r="I152" s="309">
        <f t="shared" si="43"/>
        <v>57.8</v>
      </c>
      <c r="J152" s="312">
        <v>1</v>
      </c>
      <c r="K152" s="312">
        <v>0</v>
      </c>
      <c r="L152" s="312">
        <v>0</v>
      </c>
      <c r="M152" s="312">
        <v>0</v>
      </c>
      <c r="N152" s="312">
        <v>0</v>
      </c>
      <c r="O152" s="309">
        <f t="shared" si="44"/>
        <v>0.2</v>
      </c>
    </row>
    <row r="153" spans="2:16" ht="15" customHeight="1" x14ac:dyDescent="0.2">
      <c r="B153" s="741"/>
      <c r="C153" s="63" t="s">
        <v>74</v>
      </c>
      <c r="D153" s="312">
        <v>72</v>
      </c>
      <c r="E153" s="312">
        <v>75</v>
      </c>
      <c r="F153" s="312">
        <v>78</v>
      </c>
      <c r="G153" s="312">
        <v>64</v>
      </c>
      <c r="H153" s="312">
        <v>60</v>
      </c>
      <c r="I153" s="309">
        <f t="shared" si="43"/>
        <v>69.8</v>
      </c>
      <c r="J153" s="312">
        <v>0</v>
      </c>
      <c r="K153" s="312">
        <v>0</v>
      </c>
      <c r="L153" s="312">
        <v>0</v>
      </c>
      <c r="M153" s="312">
        <v>0</v>
      </c>
      <c r="N153" s="312">
        <v>0</v>
      </c>
      <c r="O153" s="309">
        <f t="shared" si="44"/>
        <v>0</v>
      </c>
    </row>
    <row r="154" spans="2:16" ht="15" customHeight="1" x14ac:dyDescent="0.2">
      <c r="B154" s="741"/>
      <c r="C154" s="310" t="s">
        <v>180</v>
      </c>
      <c r="D154" s="311">
        <f t="shared" ref="D154:H154" si="65">SUM(D151:D153)</f>
        <v>310</v>
      </c>
      <c r="E154" s="311">
        <f t="shared" si="65"/>
        <v>249</v>
      </c>
      <c r="F154" s="311">
        <f t="shared" si="65"/>
        <v>264</v>
      </c>
      <c r="G154" s="311">
        <f t="shared" si="65"/>
        <v>266</v>
      </c>
      <c r="H154" s="311">
        <f t="shared" si="65"/>
        <v>259</v>
      </c>
      <c r="I154" s="309">
        <f t="shared" si="43"/>
        <v>269.60000000000002</v>
      </c>
      <c r="J154" s="311">
        <f t="shared" ref="J154:N154" si="66">SUM(J151:J153)</f>
        <v>1</v>
      </c>
      <c r="K154" s="311">
        <f t="shared" si="66"/>
        <v>0</v>
      </c>
      <c r="L154" s="311">
        <f t="shared" si="66"/>
        <v>0</v>
      </c>
      <c r="M154" s="311">
        <f t="shared" si="66"/>
        <v>0</v>
      </c>
      <c r="N154" s="311">
        <f t="shared" si="66"/>
        <v>0</v>
      </c>
      <c r="O154" s="309">
        <f t="shared" si="44"/>
        <v>0.2</v>
      </c>
    </row>
    <row r="155" spans="2:16" ht="15" customHeight="1" x14ac:dyDescent="0.2">
      <c r="B155" s="324" t="s">
        <v>221</v>
      </c>
      <c r="C155" s="325" t="s">
        <v>180</v>
      </c>
      <c r="D155" s="327">
        <f t="shared" ref="D155:H155" si="67">D130+D69+D48</f>
        <v>1073</v>
      </c>
      <c r="E155" s="326">
        <f t="shared" si="67"/>
        <v>974</v>
      </c>
      <c r="F155" s="326">
        <f t="shared" si="67"/>
        <v>1074</v>
      </c>
      <c r="G155" s="326">
        <f t="shared" si="67"/>
        <v>1030</v>
      </c>
      <c r="H155" s="326">
        <f t="shared" si="67"/>
        <v>696</v>
      </c>
      <c r="I155" s="309">
        <f t="shared" si="43"/>
        <v>969.4</v>
      </c>
      <c r="J155" s="510">
        <f>J130+J69+J48</f>
        <v>21</v>
      </c>
      <c r="K155" s="510">
        <f t="shared" ref="K155:M155" si="68">K130+K69+K48</f>
        <v>21</v>
      </c>
      <c r="L155" s="510">
        <f t="shared" si="68"/>
        <v>15</v>
      </c>
      <c r="M155" s="510">
        <f t="shared" si="68"/>
        <v>23</v>
      </c>
      <c r="N155" s="510">
        <f>N130+N69+N48</f>
        <v>16</v>
      </c>
      <c r="O155" s="309">
        <f t="shared" si="44"/>
        <v>19.2</v>
      </c>
    </row>
    <row r="156" spans="2:16" ht="15" customHeight="1" x14ac:dyDescent="0.2">
      <c r="B156" s="275"/>
      <c r="C156" s="275"/>
      <c r="D156" s="275"/>
      <c r="E156" s="275"/>
      <c r="F156" s="275"/>
      <c r="G156" s="275"/>
      <c r="H156" s="275"/>
      <c r="I156" s="275"/>
      <c r="J156" s="275"/>
      <c r="K156" s="275"/>
      <c r="L156" s="275"/>
      <c r="M156" s="275"/>
      <c r="N156" s="275"/>
      <c r="O156" s="275"/>
    </row>
    <row r="157" spans="2:16" ht="15" customHeight="1" x14ac:dyDescent="0.2">
      <c r="B157" s="275"/>
      <c r="C157" s="275"/>
      <c r="D157" s="275"/>
      <c r="E157" s="275"/>
      <c r="F157" s="275"/>
      <c r="G157" s="275"/>
      <c r="H157" s="275"/>
      <c r="I157" s="275"/>
      <c r="J157" s="275"/>
      <c r="K157" s="275"/>
      <c r="L157" s="275"/>
      <c r="M157" s="275"/>
      <c r="N157" s="275"/>
      <c r="O157" s="275"/>
    </row>
    <row r="158" spans="2:16" ht="15" customHeight="1" x14ac:dyDescent="0.2">
      <c r="B158" s="275"/>
      <c r="C158" s="275"/>
      <c r="D158" s="275"/>
      <c r="E158" s="275"/>
      <c r="F158" s="275"/>
      <c r="G158" s="275"/>
      <c r="H158" s="275"/>
      <c r="I158" s="275"/>
      <c r="J158" s="275"/>
      <c r="K158" s="275"/>
      <c r="L158" s="275"/>
      <c r="M158" s="275"/>
      <c r="N158" s="275"/>
      <c r="O158" s="275"/>
      <c r="P158" s="275"/>
    </row>
    <row r="159" spans="2:16" ht="15" customHeight="1" x14ac:dyDescent="0.2">
      <c r="B159" s="275"/>
      <c r="C159" s="275"/>
      <c r="D159" s="275"/>
      <c r="E159" s="275"/>
      <c r="F159" s="275"/>
      <c r="G159" s="275"/>
      <c r="H159" s="275"/>
      <c r="I159" s="275"/>
      <c r="J159" s="275"/>
      <c r="K159" s="275"/>
      <c r="L159" s="275"/>
      <c r="M159" s="275"/>
      <c r="N159" s="275"/>
      <c r="O159" s="275"/>
      <c r="P159" s="275"/>
    </row>
    <row r="160" spans="2:16" ht="15" customHeight="1" x14ac:dyDescent="0.2">
      <c r="C160" s="275"/>
      <c r="D160" s="275"/>
      <c r="E160" s="275"/>
      <c r="F160" s="275"/>
      <c r="G160" s="275"/>
      <c r="H160" s="275"/>
      <c r="I160" s="275"/>
      <c r="J160" s="275"/>
      <c r="K160" s="275"/>
      <c r="L160" s="275"/>
      <c r="M160" s="275"/>
      <c r="N160" s="275"/>
      <c r="O160" s="275"/>
      <c r="P160" s="275"/>
    </row>
    <row r="161" spans="2:18" ht="15" customHeight="1" x14ac:dyDescent="0.2">
      <c r="B161" s="642" t="s">
        <v>222</v>
      </c>
      <c r="C161" s="275"/>
      <c r="D161" s="275"/>
      <c r="E161" s="275"/>
      <c r="F161" s="275"/>
      <c r="G161" s="275"/>
      <c r="H161" s="275"/>
      <c r="I161" s="275"/>
      <c r="J161" s="275"/>
      <c r="K161" s="275"/>
      <c r="L161" s="275"/>
      <c r="M161" s="275"/>
      <c r="N161" s="275"/>
      <c r="O161" s="275"/>
      <c r="P161" s="275"/>
    </row>
    <row r="162" spans="2:18" ht="15" customHeight="1" x14ac:dyDescent="0.2">
      <c r="B162" s="639" t="s">
        <v>223</v>
      </c>
      <c r="C162" s="640">
        <v>9.23</v>
      </c>
      <c r="D162" s="275"/>
      <c r="E162" s="275"/>
      <c r="F162" s="275"/>
      <c r="G162" s="275"/>
      <c r="H162" s="275"/>
      <c r="I162" s="275"/>
      <c r="J162" s="275"/>
      <c r="K162" s="275"/>
      <c r="L162" s="275"/>
      <c r="M162" s="275"/>
      <c r="N162" s="275"/>
      <c r="O162" s="275"/>
      <c r="P162" s="275"/>
    </row>
    <row r="163" spans="2:18" ht="15" customHeight="1" x14ac:dyDescent="0.2">
      <c r="B163" s="639" t="s">
        <v>224</v>
      </c>
      <c r="C163" s="640">
        <v>5.12</v>
      </c>
      <c r="D163" s="275"/>
      <c r="E163" s="275"/>
      <c r="F163" s="275"/>
      <c r="G163" s="275"/>
      <c r="H163" s="275"/>
      <c r="I163" s="275"/>
      <c r="J163" s="275"/>
      <c r="K163" s="275"/>
      <c r="L163" s="275"/>
      <c r="M163" s="275"/>
      <c r="N163" s="275"/>
      <c r="O163" s="275"/>
      <c r="P163" s="275"/>
    </row>
    <row r="164" spans="2:18" ht="15" customHeight="1" x14ac:dyDescent="0.2">
      <c r="B164" s="639" t="s">
        <v>225</v>
      </c>
      <c r="C164" s="641">
        <v>13.503960136811642</v>
      </c>
      <c r="D164" s="275"/>
      <c r="E164" s="275"/>
      <c r="F164" s="275"/>
      <c r="G164" s="275"/>
      <c r="H164" s="275"/>
      <c r="I164" s="275"/>
      <c r="J164" s="275"/>
      <c r="K164" s="275"/>
      <c r="L164" s="275"/>
      <c r="M164" s="275"/>
      <c r="N164" s="275"/>
      <c r="O164" s="275"/>
      <c r="P164" s="275"/>
    </row>
    <row r="165" spans="2:18" ht="15" customHeight="1" x14ac:dyDescent="0.2">
      <c r="B165" s="639" t="s">
        <v>226</v>
      </c>
      <c r="C165" s="641">
        <v>7.49082079095077</v>
      </c>
      <c r="D165" s="275"/>
      <c r="E165" s="275"/>
      <c r="F165" s="275"/>
      <c r="G165" s="275"/>
      <c r="H165" s="275"/>
      <c r="I165" s="275"/>
      <c r="J165" s="275"/>
      <c r="K165" s="275"/>
      <c r="L165" s="275"/>
      <c r="M165" s="275"/>
      <c r="N165" s="275"/>
      <c r="O165" s="275"/>
      <c r="P165" s="275"/>
    </row>
    <row r="166" spans="2:18" ht="15" customHeight="1" x14ac:dyDescent="0.2">
      <c r="B166" s="639" t="s">
        <v>227</v>
      </c>
      <c r="C166" s="639">
        <v>44.5</v>
      </c>
      <c r="D166" s="275"/>
      <c r="E166" s="275"/>
      <c r="F166" s="275"/>
      <c r="G166" s="275"/>
      <c r="H166" s="275"/>
      <c r="I166" s="275"/>
      <c r="J166" s="275"/>
      <c r="K166" s="275"/>
      <c r="L166" s="275"/>
      <c r="M166" s="275"/>
      <c r="N166" s="275"/>
      <c r="O166" s="275"/>
      <c r="P166" s="275"/>
    </row>
    <row r="167" spans="2:18" ht="15" customHeight="1" x14ac:dyDescent="0.2">
      <c r="B167" s="275"/>
      <c r="C167" s="275"/>
      <c r="D167" s="275"/>
      <c r="E167" s="275"/>
      <c r="F167" s="275"/>
      <c r="G167" s="275"/>
      <c r="H167" s="275"/>
      <c r="I167" s="275"/>
      <c r="J167" s="275"/>
      <c r="K167" s="275"/>
      <c r="L167" s="275"/>
      <c r="M167" s="275"/>
      <c r="N167" s="275"/>
      <c r="O167" s="275"/>
      <c r="P167" s="275"/>
    </row>
    <row r="168" spans="2:18" ht="15" customHeight="1" x14ac:dyDescent="0.2">
      <c r="B168" s="275"/>
      <c r="C168" s="275"/>
      <c r="D168" s="275"/>
      <c r="E168" s="275"/>
      <c r="F168" s="275"/>
      <c r="G168" s="275"/>
      <c r="H168" s="275"/>
      <c r="I168" s="275"/>
      <c r="J168" s="275"/>
      <c r="K168" s="275"/>
      <c r="L168" s="275"/>
      <c r="M168" s="275"/>
      <c r="N168" s="275"/>
      <c r="O168" s="275"/>
      <c r="P168" s="275"/>
    </row>
    <row r="169" spans="2:18" ht="15" customHeight="1" x14ac:dyDescent="0.2">
      <c r="B169" s="275"/>
      <c r="C169" s="275"/>
      <c r="D169" s="275"/>
      <c r="E169" s="275"/>
      <c r="F169" s="275"/>
      <c r="G169" s="275"/>
      <c r="H169" s="275"/>
      <c r="I169" s="275"/>
      <c r="J169" s="275"/>
      <c r="K169" s="275"/>
      <c r="L169" s="275"/>
      <c r="M169" s="275"/>
      <c r="N169" s="275"/>
      <c r="O169" s="275"/>
      <c r="P169" s="275"/>
    </row>
    <row r="170" spans="2:18" ht="15" customHeight="1" x14ac:dyDescent="0.2">
      <c r="B170" s="393" t="s">
        <v>228</v>
      </c>
      <c r="C170" s="275"/>
      <c r="D170" s="275"/>
      <c r="E170" s="275"/>
      <c r="F170" s="275"/>
      <c r="G170" s="275"/>
      <c r="H170" s="275"/>
      <c r="I170" s="275"/>
      <c r="J170" s="275"/>
      <c r="K170" s="275"/>
      <c r="L170" s="275"/>
      <c r="M170" s="275"/>
      <c r="N170" s="275"/>
      <c r="O170" s="275"/>
      <c r="P170" s="275"/>
    </row>
    <row r="171" spans="2:18" ht="15" customHeight="1" x14ac:dyDescent="0.2">
      <c r="B171" s="275"/>
      <c r="C171" s="275"/>
      <c r="D171" s="275"/>
      <c r="E171" s="275"/>
      <c r="F171" s="275"/>
      <c r="G171" s="275"/>
      <c r="H171" s="275"/>
      <c r="I171" s="275"/>
      <c r="J171" s="275"/>
      <c r="K171" s="275"/>
      <c r="L171" s="275"/>
      <c r="M171" s="275"/>
      <c r="N171" s="275"/>
      <c r="O171" s="275"/>
      <c r="P171" s="275"/>
    </row>
    <row r="172" spans="2:18" ht="15" customHeight="1" x14ac:dyDescent="0.2">
      <c r="B172" s="774" t="s">
        <v>229</v>
      </c>
      <c r="C172"/>
      <c r="D172" s="749" t="s">
        <v>230</v>
      </c>
      <c r="E172" s="749"/>
      <c r="F172" s="749"/>
      <c r="G172" s="749"/>
      <c r="H172" s="749"/>
      <c r="I172" s="750" t="s">
        <v>231</v>
      </c>
      <c r="J172" s="750"/>
      <c r="K172" s="750"/>
      <c r="L172" s="750"/>
      <c r="M172" s="751" t="s">
        <v>232</v>
      </c>
      <c r="N172" s="751"/>
      <c r="O172" s="751"/>
      <c r="P172" s="752"/>
    </row>
    <row r="173" spans="2:18" ht="33" customHeight="1" x14ac:dyDescent="0.2">
      <c r="B173" s="774"/>
      <c r="C173"/>
      <c r="D173" s="356" t="s">
        <v>233</v>
      </c>
      <c r="E173" s="357" t="s">
        <v>114</v>
      </c>
      <c r="F173" s="357" t="s">
        <v>76</v>
      </c>
      <c r="G173" s="357" t="s">
        <v>74</v>
      </c>
      <c r="H173" s="358" t="s">
        <v>180</v>
      </c>
      <c r="I173" s="359" t="s">
        <v>234</v>
      </c>
      <c r="J173" s="360" t="s">
        <v>114</v>
      </c>
      <c r="K173" s="357" t="s">
        <v>76</v>
      </c>
      <c r="L173" s="357" t="s">
        <v>74</v>
      </c>
      <c r="M173" s="153" t="s">
        <v>120</v>
      </c>
      <c r="N173" s="361" t="s">
        <v>235</v>
      </c>
      <c r="O173" s="360" t="s">
        <v>114</v>
      </c>
      <c r="P173" s="357" t="s">
        <v>76</v>
      </c>
      <c r="Q173" s="357" t="s">
        <v>74</v>
      </c>
      <c r="R173" s="153" t="s">
        <v>120</v>
      </c>
    </row>
    <row r="174" spans="2:18" ht="15" customHeight="1" x14ac:dyDescent="0.2">
      <c r="B174"/>
      <c r="C174" s="362">
        <v>2015</v>
      </c>
      <c r="D174" s="425">
        <v>253</v>
      </c>
      <c r="E174" s="426">
        <v>3</v>
      </c>
      <c r="F174" s="426">
        <v>0</v>
      </c>
      <c r="G174" s="426">
        <v>2</v>
      </c>
      <c r="H174" s="426">
        <v>5</v>
      </c>
      <c r="I174" s="427">
        <v>108</v>
      </c>
      <c r="J174" s="428">
        <v>1</v>
      </c>
      <c r="K174" s="426">
        <v>0</v>
      </c>
      <c r="L174" s="426">
        <v>1</v>
      </c>
      <c r="M174" s="426">
        <v>1</v>
      </c>
      <c r="N174" s="427">
        <v>4</v>
      </c>
      <c r="O174" s="428">
        <v>0</v>
      </c>
      <c r="P174" s="426">
        <v>0</v>
      </c>
      <c r="Q174" s="426">
        <v>0</v>
      </c>
      <c r="R174" s="426">
        <v>0</v>
      </c>
    </row>
    <row r="175" spans="2:18" ht="15" customHeight="1" x14ac:dyDescent="0.2">
      <c r="B175"/>
      <c r="C175" s="363">
        <v>2016</v>
      </c>
      <c r="D175" s="425">
        <v>206</v>
      </c>
      <c r="E175" s="426">
        <v>8</v>
      </c>
      <c r="F175" s="426">
        <v>0</v>
      </c>
      <c r="G175" s="426">
        <v>3</v>
      </c>
      <c r="H175" s="426">
        <v>11</v>
      </c>
      <c r="I175" s="427">
        <v>138</v>
      </c>
      <c r="J175" s="428">
        <v>0</v>
      </c>
      <c r="K175" s="426">
        <v>1</v>
      </c>
      <c r="L175" s="426">
        <v>3</v>
      </c>
      <c r="M175" s="426">
        <v>4</v>
      </c>
      <c r="N175" s="427">
        <v>21</v>
      </c>
      <c r="O175" s="428">
        <v>0</v>
      </c>
      <c r="P175" s="426">
        <v>0</v>
      </c>
      <c r="Q175" s="426">
        <v>0</v>
      </c>
      <c r="R175" s="426">
        <v>0</v>
      </c>
    </row>
    <row r="176" spans="2:18" ht="15" customHeight="1" x14ac:dyDescent="0.2">
      <c r="B176"/>
      <c r="C176" s="363">
        <v>2017</v>
      </c>
      <c r="D176" s="425">
        <v>173</v>
      </c>
      <c r="E176" s="426">
        <v>3</v>
      </c>
      <c r="F176" s="426">
        <v>1</v>
      </c>
      <c r="G176" s="426">
        <v>1</v>
      </c>
      <c r="H176" s="426">
        <v>5</v>
      </c>
      <c r="I176" s="427">
        <v>169</v>
      </c>
      <c r="J176" s="428">
        <v>0</v>
      </c>
      <c r="K176" s="426">
        <v>2</v>
      </c>
      <c r="L176" s="426">
        <v>0</v>
      </c>
      <c r="M176" s="426">
        <v>2</v>
      </c>
      <c r="N176" s="427">
        <v>23</v>
      </c>
      <c r="O176" s="428">
        <v>1</v>
      </c>
      <c r="P176" s="426">
        <v>0</v>
      </c>
      <c r="Q176" s="426">
        <v>0</v>
      </c>
      <c r="R176" s="426">
        <v>0</v>
      </c>
    </row>
    <row r="177" spans="2:18" ht="15" customHeight="1" x14ac:dyDescent="0.2">
      <c r="B177"/>
      <c r="C177" s="363">
        <v>2018</v>
      </c>
      <c r="D177" s="425">
        <v>169</v>
      </c>
      <c r="E177" s="426">
        <v>3</v>
      </c>
      <c r="F177" s="426">
        <v>4</v>
      </c>
      <c r="G177" s="426">
        <v>3</v>
      </c>
      <c r="H177" s="426">
        <v>10</v>
      </c>
      <c r="I177" s="427">
        <v>182</v>
      </c>
      <c r="J177" s="428">
        <v>1</v>
      </c>
      <c r="K177" s="426">
        <v>2</v>
      </c>
      <c r="L177" s="426">
        <v>3</v>
      </c>
      <c r="M177" s="426">
        <v>5</v>
      </c>
      <c r="N177" s="427">
        <v>14</v>
      </c>
      <c r="O177" s="428">
        <v>0</v>
      </c>
      <c r="P177" s="426">
        <v>0</v>
      </c>
      <c r="Q177" s="426">
        <v>0</v>
      </c>
      <c r="R177" s="426">
        <v>0</v>
      </c>
    </row>
    <row r="178" spans="2:18" ht="15" customHeight="1" x14ac:dyDescent="0.2">
      <c r="B178"/>
      <c r="C178" s="364">
        <v>2019</v>
      </c>
      <c r="D178" s="425">
        <v>216</v>
      </c>
      <c r="E178" s="426">
        <v>7</v>
      </c>
      <c r="F178" s="426">
        <v>2</v>
      </c>
      <c r="G178" s="426">
        <v>5</v>
      </c>
      <c r="H178" s="426">
        <v>14</v>
      </c>
      <c r="I178" s="427">
        <v>137</v>
      </c>
      <c r="J178" s="428">
        <v>1</v>
      </c>
      <c r="K178" s="426">
        <v>2</v>
      </c>
      <c r="L178" s="426">
        <v>4</v>
      </c>
      <c r="M178" s="426">
        <v>6</v>
      </c>
      <c r="N178" s="427">
        <v>12</v>
      </c>
      <c r="O178" s="428">
        <v>0</v>
      </c>
      <c r="P178" s="426">
        <v>0</v>
      </c>
      <c r="Q178" s="426">
        <v>0</v>
      </c>
      <c r="R178" s="426">
        <v>0</v>
      </c>
    </row>
    <row r="179" spans="2:18" ht="15" customHeight="1" x14ac:dyDescent="0.2">
      <c r="B179"/>
      <c r="C179" s="365" t="s">
        <v>236</v>
      </c>
      <c r="D179" s="429">
        <v>203.4</v>
      </c>
      <c r="E179" s="429">
        <v>4.8</v>
      </c>
      <c r="F179" s="429">
        <v>1.4</v>
      </c>
      <c r="G179" s="429">
        <v>2.8</v>
      </c>
      <c r="H179" s="429">
        <v>9</v>
      </c>
      <c r="I179" s="429">
        <v>146.80000000000001</v>
      </c>
      <c r="J179" s="430">
        <v>0.6</v>
      </c>
      <c r="K179" s="431">
        <v>1.4</v>
      </c>
      <c r="L179" s="429">
        <v>2.2000000000000002</v>
      </c>
      <c r="M179" s="429">
        <v>3.6</v>
      </c>
      <c r="N179" s="429">
        <v>14.8</v>
      </c>
      <c r="O179" s="430">
        <v>0.2</v>
      </c>
      <c r="P179" s="429">
        <v>0</v>
      </c>
      <c r="Q179" s="429">
        <v>0</v>
      </c>
      <c r="R179" s="429">
        <v>0</v>
      </c>
    </row>
    <row r="180" spans="2:18" ht="15" customHeight="1" x14ac:dyDescent="0.2">
      <c r="B180"/>
      <c r="C180" s="365" t="s">
        <v>237</v>
      </c>
      <c r="D180" s="357"/>
      <c r="E180" s="366">
        <f>E179*(365/D179)</f>
        <v>8.6135693215339231</v>
      </c>
      <c r="F180" s="366">
        <f>F179*(365/D179)</f>
        <v>2.5122910521140609</v>
      </c>
      <c r="G180" s="366">
        <f>G179*(365/D179)</f>
        <v>5.0245821042281218</v>
      </c>
      <c r="H180" s="367">
        <f>H179*(365/D179)</f>
        <v>16.150442477876105</v>
      </c>
      <c r="I180" s="368"/>
      <c r="J180" s="369">
        <f>J179*($H$8/365)</f>
        <v>0</v>
      </c>
      <c r="K180" s="370">
        <f>K179*(365/I179)</f>
        <v>3.4809264305177106</v>
      </c>
      <c r="L180" s="370">
        <f>L179*(365/I179)</f>
        <v>5.4700272479564029</v>
      </c>
      <c r="M180" s="368"/>
      <c r="N180" s="369">
        <f>N179*($L$8/365)</f>
        <v>0</v>
      </c>
      <c r="O180" s="370">
        <f>O179*(365/M179)</f>
        <v>20.277777777777779</v>
      </c>
      <c r="P180" s="370">
        <f>P179*(365/M179)</f>
        <v>0</v>
      </c>
    </row>
    <row r="181" spans="2:18" ht="15" customHeight="1" thickBot="1" x14ac:dyDescent="0.25">
      <c r="B181"/>
      <c r="C181"/>
      <c r="D181"/>
      <c r="E181"/>
      <c r="F181"/>
      <c r="G181"/>
      <c r="H181"/>
      <c r="I181"/>
      <c r="J181"/>
      <c r="K181"/>
      <c r="L181"/>
      <c r="M181"/>
      <c r="N181"/>
      <c r="O181"/>
      <c r="P181"/>
    </row>
    <row r="182" spans="2:18" ht="15" customHeight="1" thickBot="1" x14ac:dyDescent="0.25">
      <c r="B182" s="371"/>
      <c r="C182" s="371"/>
      <c r="D182" s="753" t="s">
        <v>238</v>
      </c>
      <c r="E182" s="753"/>
      <c r="F182" s="371" t="s">
        <v>76</v>
      </c>
      <c r="G182" s="371" t="s">
        <v>74</v>
      </c>
      <c r="H182" s="371"/>
      <c r="I182" s="372" t="s">
        <v>239</v>
      </c>
      <c r="J182" s="373"/>
      <c r="K182" s="374" t="s">
        <v>240</v>
      </c>
      <c r="L182" s="42"/>
      <c r="M182" s="754" t="s">
        <v>241</v>
      </c>
      <c r="N182" s="754"/>
      <c r="O182" s="754"/>
      <c r="P182" s="755"/>
    </row>
    <row r="183" spans="2:18" ht="34.5" customHeight="1" x14ac:dyDescent="0.2">
      <c r="B183" s="773" t="s">
        <v>242</v>
      </c>
      <c r="C183" s="773"/>
      <c r="D183" s="753">
        <f>D179+I179</f>
        <v>350.20000000000005</v>
      </c>
      <c r="E183" s="753"/>
      <c r="F183" s="375">
        <f>F179+K179</f>
        <v>2.8</v>
      </c>
      <c r="G183" s="371">
        <f>G179+L179</f>
        <v>5</v>
      </c>
      <c r="H183" s="371"/>
      <c r="I183" s="376">
        <f>F183/D183</f>
        <v>7.9954311821816091E-3</v>
      </c>
      <c r="J183" s="377"/>
      <c r="K183" s="376">
        <f>G183/D183</f>
        <v>1.427755568246716E-2</v>
      </c>
      <c r="L183" s="378"/>
      <c r="M183" s="661"/>
      <c r="N183" s="662"/>
      <c r="O183" s="663" t="s">
        <v>76</v>
      </c>
      <c r="P183" s="664" t="s">
        <v>74</v>
      </c>
    </row>
    <row r="184" spans="2:18" ht="28.5" customHeight="1" x14ac:dyDescent="0.2">
      <c r="B184"/>
      <c r="C184" s="379"/>
      <c r="D184" s="379"/>
      <c r="E184" s="379"/>
      <c r="F184" s="379"/>
      <c r="G184" s="379"/>
      <c r="H184"/>
      <c r="I184" s="380"/>
      <c r="J184"/>
      <c r="K184" s="381"/>
      <c r="L184" s="381"/>
      <c r="M184" s="391" t="s">
        <v>243</v>
      </c>
      <c r="N184" s="382"/>
      <c r="O184" s="383">
        <f>I183*N179</f>
        <v>0.11833238149628782</v>
      </c>
      <c r="P184" s="384">
        <f>K183*N179</f>
        <v>0.21130782410051399</v>
      </c>
    </row>
    <row r="185" spans="2:18" ht="15" customHeight="1" x14ac:dyDescent="0.2">
      <c r="B185"/>
      <c r="C185" s="379"/>
      <c r="D185" s="379"/>
      <c r="E185" s="379"/>
      <c r="F185" s="379"/>
      <c r="G185" s="379"/>
      <c r="H185"/>
      <c r="I185" s="380"/>
      <c r="J185"/>
      <c r="K185" s="385"/>
      <c r="L185" s="385"/>
      <c r="M185" s="391" t="s">
        <v>244</v>
      </c>
      <c r="N185" s="382"/>
      <c r="O185" s="386">
        <v>0.10344827586206896</v>
      </c>
      <c r="P185" s="387">
        <v>0.1</v>
      </c>
    </row>
    <row r="186" spans="2:18" ht="15" customHeight="1" thickBot="1" x14ac:dyDescent="0.25">
      <c r="B186"/>
      <c r="C186" s="379"/>
      <c r="D186" s="379"/>
      <c r="E186" s="379"/>
      <c r="F186" s="379"/>
      <c r="G186" s="379"/>
      <c r="H186"/>
      <c r="I186" s="380"/>
      <c r="J186"/>
      <c r="K186" s="381"/>
      <c r="L186" s="381"/>
      <c r="M186" s="392" t="s">
        <v>245</v>
      </c>
      <c r="N186" s="388"/>
      <c r="O186" s="389">
        <f>O184*O185</f>
        <v>1.2241280844443567E-2</v>
      </c>
      <c r="P186" s="390">
        <f>P184*P185</f>
        <v>2.11307824100514E-2</v>
      </c>
    </row>
    <row r="187" spans="2:18" ht="15" customHeight="1" x14ac:dyDescent="0.2">
      <c r="B187"/>
      <c r="C187" s="379"/>
      <c r="D187" s="379"/>
      <c r="E187" s="379"/>
      <c r="F187" s="379"/>
      <c r="G187" s="379"/>
      <c r="H187"/>
      <c r="I187" s="380"/>
      <c r="J187"/>
      <c r="K187" s="381"/>
      <c r="L187" s="381"/>
      <c r="M187" s="284"/>
      <c r="N187"/>
      <c r="O187" s="381"/>
      <c r="P187" s="381"/>
    </row>
    <row r="188" spans="2:18" ht="15" customHeight="1" x14ac:dyDescent="0.2">
      <c r="B188" s="275"/>
      <c r="C188" s="275"/>
      <c r="D188" s="275"/>
      <c r="E188" s="275"/>
      <c r="F188" s="275"/>
      <c r="G188" s="275"/>
      <c r="H188" s="275"/>
      <c r="I188" s="275"/>
      <c r="J188" s="275"/>
      <c r="K188" s="275"/>
      <c r="L188" s="275"/>
      <c r="M188" s="275"/>
      <c r="N188" s="275"/>
      <c r="O188" s="275"/>
      <c r="P188" s="275"/>
    </row>
    <row r="189" spans="2:18" ht="15" customHeight="1" x14ac:dyDescent="0.2">
      <c r="B189" s="275"/>
      <c r="C189" s="275"/>
      <c r="D189" s="275"/>
      <c r="E189" s="275"/>
      <c r="F189" s="275"/>
      <c r="G189" s="275"/>
      <c r="H189" s="275"/>
      <c r="I189" s="275"/>
      <c r="J189" s="275"/>
      <c r="K189" s="275"/>
      <c r="L189" s="275"/>
      <c r="M189" s="275"/>
      <c r="N189" s="275"/>
      <c r="O189" s="275"/>
      <c r="P189" s="275"/>
    </row>
    <row r="190" spans="2:18" ht="15" customHeight="1" x14ac:dyDescent="0.2">
      <c r="B190" s="275"/>
      <c r="C190" s="275"/>
      <c r="D190" s="275"/>
      <c r="E190" s="275"/>
      <c r="F190" s="275"/>
      <c r="G190" s="275"/>
      <c r="H190" s="275"/>
      <c r="I190" s="275"/>
      <c r="J190" s="275"/>
      <c r="K190" s="275"/>
      <c r="L190" s="275"/>
      <c r="M190" s="275"/>
      <c r="N190" s="275"/>
      <c r="O190" s="275"/>
      <c r="P190" s="275"/>
    </row>
    <row r="191" spans="2:18" ht="15" customHeight="1" x14ac:dyDescent="0.2">
      <c r="B191" s="275"/>
      <c r="C191" s="275"/>
      <c r="D191" s="275"/>
      <c r="E191" s="275"/>
      <c r="F191" s="275"/>
      <c r="G191" s="275"/>
      <c r="H191" s="275"/>
      <c r="I191" s="275"/>
      <c r="J191" s="275"/>
      <c r="K191" s="275"/>
      <c r="L191" s="275"/>
      <c r="M191" s="275"/>
      <c r="N191" s="275"/>
      <c r="O191" s="275"/>
      <c r="P191" s="275"/>
    </row>
    <row r="192" spans="2:18" ht="15" customHeight="1" x14ac:dyDescent="0.2">
      <c r="B192" s="642" t="s">
        <v>246</v>
      </c>
      <c r="C192" s="275"/>
      <c r="D192" s="275"/>
      <c r="E192" s="275"/>
      <c r="F192" s="275"/>
      <c r="G192" s="275"/>
      <c r="H192" s="275"/>
      <c r="I192" s="275"/>
      <c r="J192" s="275"/>
      <c r="K192" s="275"/>
      <c r="L192" s="275"/>
      <c r="M192" s="275"/>
      <c r="N192" s="275"/>
      <c r="O192" s="275"/>
      <c r="P192" s="275"/>
    </row>
    <row r="193" spans="2:16" ht="16" thickBot="1" x14ac:dyDescent="0.25">
      <c r="B193" s="275"/>
      <c r="C193" s="275"/>
      <c r="D193" s="275"/>
      <c r="E193" s="275"/>
      <c r="F193" s="275"/>
      <c r="G193" s="275"/>
      <c r="H193" s="275"/>
      <c r="I193" s="275"/>
      <c r="J193" s="275"/>
      <c r="K193" s="275"/>
      <c r="L193" s="275"/>
      <c r="M193" s="275"/>
      <c r="N193" s="275"/>
      <c r="O193" s="275"/>
      <c r="P193" s="275"/>
    </row>
    <row r="194" spans="2:16" ht="15" customHeight="1" thickBot="1" x14ac:dyDescent="0.25">
      <c r="B194" s="762" t="s">
        <v>247</v>
      </c>
      <c r="C194" s="762"/>
      <c r="D194" s="762"/>
      <c r="E194" s="762"/>
      <c r="F194" s="762"/>
      <c r="G194" s="762"/>
      <c r="H194" s="762"/>
      <c r="I194" s="762"/>
      <c r="J194" s="762"/>
      <c r="K194" s="762"/>
      <c r="L194" s="763"/>
      <c r="M194" s="275"/>
      <c r="N194" s="275"/>
      <c r="O194" s="275"/>
      <c r="P194" s="275"/>
    </row>
    <row r="195" spans="2:16" ht="15" customHeight="1" thickBot="1" x14ac:dyDescent="0.25">
      <c r="B195" s="402"/>
      <c r="C195" s="764" t="s">
        <v>114</v>
      </c>
      <c r="D195" s="764"/>
      <c r="E195" s="764"/>
      <c r="F195" s="765" t="s">
        <v>76</v>
      </c>
      <c r="G195" s="765"/>
      <c r="H195" s="765"/>
      <c r="I195" s="766" t="s">
        <v>74</v>
      </c>
      <c r="J195" s="766"/>
      <c r="K195" s="766"/>
      <c r="L195" s="767" t="s">
        <v>248</v>
      </c>
      <c r="M195" s="275"/>
      <c r="N195" s="275"/>
      <c r="O195" s="275"/>
      <c r="P195" s="275"/>
    </row>
    <row r="196" spans="2:16" ht="15" customHeight="1" x14ac:dyDescent="0.2">
      <c r="B196" s="403" t="s">
        <v>249</v>
      </c>
      <c r="C196" s="404" t="s">
        <v>187</v>
      </c>
      <c r="D196" s="643" t="s">
        <v>188</v>
      </c>
      <c r="E196" s="405" t="s">
        <v>189</v>
      </c>
      <c r="F196" s="404" t="s">
        <v>187</v>
      </c>
      <c r="G196" s="643" t="s">
        <v>188</v>
      </c>
      <c r="H196" s="405" t="s">
        <v>189</v>
      </c>
      <c r="I196" s="404" t="s">
        <v>187</v>
      </c>
      <c r="J196" s="643" t="s">
        <v>188</v>
      </c>
      <c r="K196" s="643" t="s">
        <v>189</v>
      </c>
      <c r="L196" s="767"/>
      <c r="M196" s="275"/>
      <c r="N196" s="275"/>
      <c r="O196" s="275"/>
      <c r="P196" s="275"/>
    </row>
    <row r="197" spans="2:16" ht="15" customHeight="1" x14ac:dyDescent="0.2">
      <c r="B197" s="406">
        <v>2015</v>
      </c>
      <c r="C197" s="407">
        <v>159</v>
      </c>
      <c r="D197" s="401">
        <v>33</v>
      </c>
      <c r="E197" s="408">
        <v>0</v>
      </c>
      <c r="F197" s="407">
        <v>58</v>
      </c>
      <c r="G197" s="401">
        <v>25</v>
      </c>
      <c r="H197" s="408">
        <v>0</v>
      </c>
      <c r="I197" s="407">
        <v>43</v>
      </c>
      <c r="J197" s="401">
        <v>30</v>
      </c>
      <c r="K197" s="401">
        <v>0</v>
      </c>
      <c r="L197" s="409">
        <v>348</v>
      </c>
      <c r="M197" s="275"/>
      <c r="N197" s="275"/>
      <c r="O197" s="275"/>
      <c r="P197" s="275"/>
    </row>
    <row r="198" spans="2:16" ht="15" customHeight="1" x14ac:dyDescent="0.2">
      <c r="B198" s="406">
        <v>2016</v>
      </c>
      <c r="C198" s="407">
        <v>216</v>
      </c>
      <c r="D198" s="401">
        <v>22</v>
      </c>
      <c r="E198" s="408">
        <v>1</v>
      </c>
      <c r="F198" s="407">
        <v>80</v>
      </c>
      <c r="G198" s="401">
        <v>20</v>
      </c>
      <c r="H198" s="408">
        <v>3</v>
      </c>
      <c r="I198" s="407">
        <v>55</v>
      </c>
      <c r="J198" s="401">
        <v>28</v>
      </c>
      <c r="K198" s="401">
        <v>0</v>
      </c>
      <c r="L198" s="409">
        <v>425</v>
      </c>
      <c r="M198" s="275"/>
      <c r="N198" s="275"/>
      <c r="O198" s="275"/>
      <c r="P198" s="275"/>
    </row>
    <row r="199" spans="2:16" ht="15" customHeight="1" x14ac:dyDescent="0.2">
      <c r="B199" s="406">
        <v>2017</v>
      </c>
      <c r="C199" s="407">
        <v>169</v>
      </c>
      <c r="D199" s="401">
        <v>44</v>
      </c>
      <c r="E199" s="408">
        <v>5</v>
      </c>
      <c r="F199" s="407">
        <v>52</v>
      </c>
      <c r="G199" s="401">
        <v>32</v>
      </c>
      <c r="H199" s="408">
        <v>4</v>
      </c>
      <c r="I199" s="407">
        <v>42</v>
      </c>
      <c r="J199" s="401">
        <v>20</v>
      </c>
      <c r="K199" s="401">
        <v>2</v>
      </c>
      <c r="L199" s="409">
        <v>370</v>
      </c>
      <c r="M199" s="275"/>
      <c r="N199" s="275"/>
      <c r="O199" s="275"/>
      <c r="P199" s="275"/>
    </row>
    <row r="200" spans="2:16" ht="15" customHeight="1" x14ac:dyDescent="0.2">
      <c r="B200" s="406">
        <v>2018</v>
      </c>
      <c r="C200" s="407">
        <v>144</v>
      </c>
      <c r="D200" s="401">
        <v>39</v>
      </c>
      <c r="E200" s="408">
        <v>9</v>
      </c>
      <c r="F200" s="407">
        <v>37</v>
      </c>
      <c r="G200" s="401">
        <v>30</v>
      </c>
      <c r="H200" s="408">
        <v>5</v>
      </c>
      <c r="I200" s="407">
        <v>43</v>
      </c>
      <c r="J200" s="401">
        <v>36</v>
      </c>
      <c r="K200" s="401">
        <v>2</v>
      </c>
      <c r="L200" s="409">
        <v>345</v>
      </c>
      <c r="M200" s="275"/>
      <c r="N200" s="275"/>
      <c r="O200" s="275"/>
      <c r="P200" s="275"/>
    </row>
    <row r="201" spans="2:16" ht="15" customHeight="1" x14ac:dyDescent="0.2">
      <c r="B201" s="647">
        <v>2019</v>
      </c>
      <c r="C201" s="648">
        <v>155</v>
      </c>
      <c r="D201" s="649">
        <v>23</v>
      </c>
      <c r="E201" s="650">
        <v>0</v>
      </c>
      <c r="F201" s="648">
        <v>59</v>
      </c>
      <c r="G201" s="649">
        <v>39</v>
      </c>
      <c r="H201" s="650">
        <v>2</v>
      </c>
      <c r="I201" s="648">
        <v>45</v>
      </c>
      <c r="J201" s="649">
        <v>43</v>
      </c>
      <c r="K201" s="649">
        <v>1</v>
      </c>
      <c r="L201" s="651">
        <v>367</v>
      </c>
      <c r="M201" s="275"/>
      <c r="N201" s="275"/>
      <c r="O201" s="275"/>
      <c r="P201" s="275"/>
    </row>
    <row r="202" spans="2:16" ht="15" customHeight="1" thickBot="1" x14ac:dyDescent="0.25">
      <c r="B202" s="644" t="s">
        <v>250</v>
      </c>
      <c r="C202" s="645">
        <v>168.6</v>
      </c>
      <c r="D202" s="645">
        <v>32.200000000000003</v>
      </c>
      <c r="E202" s="645">
        <v>3</v>
      </c>
      <c r="F202" s="645">
        <v>57.2</v>
      </c>
      <c r="G202" s="645">
        <v>29.2</v>
      </c>
      <c r="H202" s="645">
        <v>2.8</v>
      </c>
      <c r="I202" s="645">
        <v>45.6</v>
      </c>
      <c r="J202" s="645">
        <v>31.4</v>
      </c>
      <c r="K202" s="645">
        <v>1</v>
      </c>
      <c r="L202" s="646">
        <v>371</v>
      </c>
      <c r="M202" s="275"/>
      <c r="N202" s="275"/>
      <c r="O202" s="275"/>
      <c r="P202" s="275"/>
    </row>
    <row r="203" spans="2:16" ht="15" customHeight="1" x14ac:dyDescent="0.2">
      <c r="B203" s="275"/>
      <c r="C203" s="275"/>
      <c r="D203" s="275"/>
      <c r="E203" s="275"/>
      <c r="F203" s="275"/>
      <c r="G203" s="275"/>
      <c r="H203" s="275"/>
      <c r="I203" s="275"/>
      <c r="J203" s="275"/>
      <c r="K203" s="275"/>
      <c r="L203" s="275"/>
      <c r="M203" s="275"/>
      <c r="N203" s="275"/>
      <c r="O203" s="275"/>
      <c r="P203" s="275"/>
    </row>
    <row r="204" spans="2:16" ht="15" customHeight="1" x14ac:dyDescent="0.2">
      <c r="B204" s="401"/>
      <c r="C204" s="401"/>
      <c r="D204" s="401"/>
      <c r="E204" s="401"/>
      <c r="F204" s="401"/>
      <c r="G204" s="401"/>
      <c r="H204" s="401"/>
      <c r="I204" s="401"/>
      <c r="J204" s="401"/>
      <c r="K204" s="401"/>
      <c r="L204" s="401"/>
      <c r="M204" s="275"/>
      <c r="N204" s="275"/>
      <c r="O204" s="275"/>
      <c r="P204" s="275"/>
    </row>
    <row r="205" spans="2:16" ht="15" customHeight="1" x14ac:dyDescent="0.2">
      <c r="B205" s="401"/>
      <c r="C205" s="401"/>
      <c r="D205" s="768" t="s">
        <v>251</v>
      </c>
      <c r="E205" s="768"/>
      <c r="F205" s="768"/>
      <c r="G205" s="768"/>
      <c r="H205" s="768"/>
      <c r="I205" s="769"/>
      <c r="J205" s="401"/>
      <c r="K205" s="401"/>
      <c r="L205" s="401"/>
      <c r="M205" s="275"/>
      <c r="N205" s="275"/>
      <c r="O205" s="275"/>
      <c r="P205" s="275"/>
    </row>
    <row r="206" spans="2:16" ht="15" customHeight="1" x14ac:dyDescent="0.2">
      <c r="B206" s="401"/>
      <c r="C206" s="401"/>
      <c r="D206" s="770" t="s">
        <v>76</v>
      </c>
      <c r="E206" s="770"/>
      <c r="F206" s="770"/>
      <c r="G206" s="771" t="s">
        <v>74</v>
      </c>
      <c r="H206" s="771"/>
      <c r="I206" s="772"/>
      <c r="J206" s="401"/>
      <c r="K206" s="401"/>
      <c r="L206" s="401"/>
      <c r="M206" s="275"/>
      <c r="N206" s="275"/>
      <c r="O206" s="275"/>
      <c r="P206" s="275"/>
    </row>
    <row r="207" spans="2:16" ht="15" customHeight="1" x14ac:dyDescent="0.2">
      <c r="B207" s="401"/>
      <c r="C207" s="401"/>
      <c r="D207" s="410" t="s">
        <v>252</v>
      </c>
      <c r="E207" s="401" t="s">
        <v>188</v>
      </c>
      <c r="F207" s="401" t="s">
        <v>189</v>
      </c>
      <c r="G207" s="401" t="s">
        <v>252</v>
      </c>
      <c r="H207" s="401" t="s">
        <v>188</v>
      </c>
      <c r="I207" s="411" t="s">
        <v>189</v>
      </c>
      <c r="J207" s="401"/>
      <c r="K207" s="401"/>
      <c r="L207" s="275"/>
      <c r="M207" s="275"/>
      <c r="N207" s="275"/>
      <c r="O207" s="275"/>
      <c r="P207" s="275"/>
    </row>
    <row r="208" spans="2:16" ht="15" customHeight="1" x14ac:dyDescent="0.2">
      <c r="B208" s="401"/>
      <c r="C208" s="401"/>
      <c r="D208" s="412">
        <v>2.1700000000000001E-2</v>
      </c>
      <c r="E208" s="413">
        <v>5.0599999999999999E-2</v>
      </c>
      <c r="F208" s="413">
        <v>0.10340000000000001</v>
      </c>
      <c r="G208" s="413">
        <v>1.6E-2</v>
      </c>
      <c r="H208" s="413">
        <v>4.3499999999999997E-2</v>
      </c>
      <c r="I208" s="414">
        <v>0.1</v>
      </c>
      <c r="J208" s="401"/>
      <c r="K208" s="401"/>
      <c r="L208" s="275"/>
      <c r="M208" s="275"/>
      <c r="N208" s="275"/>
      <c r="O208" s="275"/>
      <c r="P208" s="275"/>
    </row>
    <row r="209" spans="2:16" ht="15" customHeight="1" x14ac:dyDescent="0.2">
      <c r="B209" s="401"/>
      <c r="C209" s="401"/>
      <c r="D209" s="401"/>
      <c r="E209" s="401"/>
      <c r="F209" s="401"/>
      <c r="G209" s="401"/>
      <c r="H209" s="401"/>
      <c r="I209" s="401"/>
      <c r="J209" s="401"/>
      <c r="K209" s="401"/>
      <c r="L209" s="275"/>
      <c r="M209" s="275"/>
      <c r="N209" s="275"/>
      <c r="O209" s="275"/>
      <c r="P209" s="275"/>
    </row>
    <row r="210" spans="2:16" ht="15" customHeight="1" x14ac:dyDescent="0.2">
      <c r="B210" s="415"/>
      <c r="C210" s="758" t="s">
        <v>253</v>
      </c>
      <c r="D210" s="758"/>
      <c r="E210" s="758"/>
      <c r="F210" s="758"/>
      <c r="G210" s="758"/>
      <c r="H210" s="758"/>
      <c r="I210" s="759" t="s">
        <v>254</v>
      </c>
      <c r="J210" s="759"/>
      <c r="K210" s="760"/>
      <c r="L210" s="275"/>
      <c r="M210" s="275"/>
      <c r="N210" s="275"/>
      <c r="O210" s="275"/>
      <c r="P210" s="275"/>
    </row>
    <row r="211" spans="2:16" ht="15" customHeight="1" x14ac:dyDescent="0.2">
      <c r="B211" s="410"/>
      <c r="C211" s="761" t="s">
        <v>76</v>
      </c>
      <c r="D211" s="761"/>
      <c r="E211" s="761"/>
      <c r="F211" s="761" t="s">
        <v>74</v>
      </c>
      <c r="G211" s="761"/>
      <c r="H211" s="761"/>
      <c r="I211" s="416" t="s">
        <v>76</v>
      </c>
      <c r="J211" s="416" t="s">
        <v>74</v>
      </c>
      <c r="K211" s="417" t="s">
        <v>255</v>
      </c>
      <c r="L211" s="275"/>
      <c r="M211" s="275"/>
      <c r="N211" s="275"/>
      <c r="O211" s="275"/>
      <c r="P211" s="275"/>
    </row>
    <row r="212" spans="2:16" ht="15" customHeight="1" x14ac:dyDescent="0.2">
      <c r="B212" s="418" t="s">
        <v>249</v>
      </c>
      <c r="C212" s="643" t="s">
        <v>187</v>
      </c>
      <c r="D212" s="643" t="s">
        <v>188</v>
      </c>
      <c r="E212" s="643" t="s">
        <v>189</v>
      </c>
      <c r="F212" s="643" t="s">
        <v>187</v>
      </c>
      <c r="G212" s="643" t="s">
        <v>188</v>
      </c>
      <c r="H212" s="643" t="s">
        <v>189</v>
      </c>
      <c r="I212" s="404"/>
      <c r="J212" s="643"/>
      <c r="K212" s="419"/>
      <c r="L212" s="275"/>
      <c r="M212" s="275"/>
      <c r="N212" s="275"/>
      <c r="O212" s="275"/>
      <c r="P212" s="275"/>
    </row>
    <row r="213" spans="2:16" ht="15" customHeight="1" x14ac:dyDescent="0.2">
      <c r="B213" s="403">
        <v>2016</v>
      </c>
      <c r="C213" s="652"/>
      <c r="D213" s="643">
        <v>50</v>
      </c>
      <c r="E213" s="643">
        <v>0</v>
      </c>
      <c r="F213" s="652"/>
      <c r="G213" s="643">
        <v>60</v>
      </c>
      <c r="H213" s="643">
        <v>0</v>
      </c>
      <c r="I213" s="420">
        <v>2.5299999999999998</v>
      </c>
      <c r="J213" s="653">
        <v>2.61</v>
      </c>
      <c r="K213" s="421">
        <v>5.14</v>
      </c>
      <c r="L213" s="275"/>
      <c r="M213" s="275"/>
      <c r="N213" s="275"/>
      <c r="O213" s="275"/>
      <c r="P213" s="275"/>
    </row>
    <row r="214" spans="2:16" ht="15" customHeight="1" x14ac:dyDescent="0.2">
      <c r="B214" s="403">
        <v>2017</v>
      </c>
      <c r="C214" s="652"/>
      <c r="D214" s="643">
        <v>40</v>
      </c>
      <c r="E214" s="643">
        <v>6</v>
      </c>
      <c r="F214" s="652"/>
      <c r="G214" s="643">
        <v>56</v>
      </c>
      <c r="H214" s="643">
        <v>0</v>
      </c>
      <c r="I214" s="420">
        <v>2.6444000000000001</v>
      </c>
      <c r="J214" s="653">
        <v>2.4359999999999999</v>
      </c>
      <c r="K214" s="421">
        <v>5.0804</v>
      </c>
      <c r="L214" s="275"/>
      <c r="M214" s="275"/>
      <c r="N214" s="275"/>
      <c r="O214" s="275"/>
      <c r="P214" s="275"/>
    </row>
    <row r="215" spans="2:16" ht="15" customHeight="1" x14ac:dyDescent="0.2">
      <c r="B215" s="403">
        <v>2018</v>
      </c>
      <c r="C215" s="643">
        <v>104</v>
      </c>
      <c r="D215" s="643">
        <v>64</v>
      </c>
      <c r="E215" s="643">
        <v>8</v>
      </c>
      <c r="F215" s="643">
        <v>86</v>
      </c>
      <c r="G215" s="643">
        <v>40</v>
      </c>
      <c r="H215" s="643">
        <v>4</v>
      </c>
      <c r="I215" s="420">
        <v>6.3224000000000009</v>
      </c>
      <c r="J215" s="653">
        <v>3.5159999999999996</v>
      </c>
      <c r="K215" s="421">
        <v>9.8384</v>
      </c>
      <c r="L215" s="275"/>
      <c r="M215" s="275"/>
      <c r="N215" s="275"/>
      <c r="O215" s="275"/>
      <c r="P215" s="275"/>
    </row>
    <row r="216" spans="2:16" ht="15" customHeight="1" x14ac:dyDescent="0.2">
      <c r="B216" s="403">
        <v>2019</v>
      </c>
      <c r="C216" s="643">
        <v>74</v>
      </c>
      <c r="D216" s="643">
        <v>60</v>
      </c>
      <c r="E216" s="643">
        <v>10</v>
      </c>
      <c r="F216" s="643">
        <v>110</v>
      </c>
      <c r="G216" s="643">
        <v>72</v>
      </c>
      <c r="H216" s="643">
        <v>4</v>
      </c>
      <c r="I216" s="420">
        <v>5.6757999999999997</v>
      </c>
      <c r="J216" s="653">
        <v>5.2919999999999998</v>
      </c>
      <c r="K216" s="421">
        <v>10.9678</v>
      </c>
      <c r="L216" s="275"/>
      <c r="M216" s="275"/>
      <c r="N216" s="275"/>
      <c r="O216" s="275"/>
      <c r="P216" s="275"/>
    </row>
    <row r="217" spans="2:16" ht="15" customHeight="1" x14ac:dyDescent="0.2">
      <c r="B217" s="656">
        <v>2020</v>
      </c>
      <c r="C217" s="657">
        <v>118</v>
      </c>
      <c r="D217" s="657">
        <v>78</v>
      </c>
      <c r="E217" s="657">
        <v>4</v>
      </c>
      <c r="F217" s="657">
        <v>84</v>
      </c>
      <c r="G217" s="657">
        <v>86</v>
      </c>
      <c r="H217" s="657">
        <v>2</v>
      </c>
      <c r="I217" s="658">
        <v>6.9210000000000003</v>
      </c>
      <c r="J217" s="659">
        <v>5.2850000000000001</v>
      </c>
      <c r="K217" s="660">
        <v>12.206</v>
      </c>
      <c r="L217" s="275"/>
      <c r="M217" s="275"/>
      <c r="N217" s="275"/>
      <c r="O217" s="275"/>
      <c r="P217" s="275"/>
    </row>
    <row r="218" spans="2:16" ht="15" customHeight="1" thickBot="1" x14ac:dyDescent="0.25">
      <c r="B218" s="422" t="s">
        <v>256</v>
      </c>
      <c r="C218" s="423">
        <v>98.666666666666671</v>
      </c>
      <c r="D218" s="423">
        <v>58.4</v>
      </c>
      <c r="E218" s="423">
        <v>5.6</v>
      </c>
      <c r="F218" s="423">
        <v>93.333333333333329</v>
      </c>
      <c r="G218" s="423">
        <v>62.8</v>
      </c>
      <c r="H218" s="423">
        <v>2</v>
      </c>
      <c r="I218" s="654">
        <v>4.8187199999999999</v>
      </c>
      <c r="J218" s="654">
        <v>3.8277999999999999</v>
      </c>
      <c r="K218" s="655">
        <v>8.6465199999999989</v>
      </c>
      <c r="L218" s="275"/>
      <c r="M218" s="275"/>
      <c r="N218" s="275"/>
      <c r="O218" s="275"/>
      <c r="P218" s="275"/>
    </row>
    <row r="219" spans="2:16" x14ac:dyDescent="0.2">
      <c r="B219" s="275"/>
      <c r="C219" s="275"/>
      <c r="D219" s="275"/>
      <c r="E219" s="275"/>
      <c r="F219" s="275"/>
      <c r="G219" s="275"/>
      <c r="H219" s="275"/>
      <c r="I219" s="275"/>
      <c r="J219" s="275"/>
      <c r="K219" s="275"/>
      <c r="L219" s="275"/>
      <c r="M219" s="275"/>
      <c r="N219" s="275"/>
      <c r="O219" s="275"/>
      <c r="P219" s="275"/>
    </row>
    <row r="220" spans="2:16" x14ac:dyDescent="0.2">
      <c r="B220" s="275"/>
      <c r="C220" s="275"/>
      <c r="D220" s="275"/>
      <c r="E220" s="275"/>
      <c r="F220" s="275"/>
      <c r="G220" s="275"/>
      <c r="H220" s="275"/>
      <c r="I220" s="275"/>
      <c r="J220" s="275"/>
      <c r="K220" s="275"/>
      <c r="L220" s="275"/>
      <c r="M220" s="275"/>
      <c r="N220" s="275"/>
      <c r="O220" s="275"/>
      <c r="P220" s="275"/>
    </row>
    <row r="221" spans="2:16" x14ac:dyDescent="0.2">
      <c r="B221" s="275"/>
      <c r="C221" s="275"/>
      <c r="D221" s="275"/>
      <c r="E221" s="275"/>
      <c r="F221" s="275"/>
      <c r="G221" s="275"/>
      <c r="H221" s="275"/>
      <c r="I221" s="275"/>
      <c r="J221" s="275"/>
      <c r="K221" s="275"/>
      <c r="L221" s="275"/>
      <c r="M221" s="275"/>
      <c r="N221" s="275"/>
      <c r="O221" s="275"/>
      <c r="P221" s="275"/>
    </row>
  </sheetData>
  <customSheetViews>
    <customSheetView guid="{D05417A5-79DD-4039-A840-6AA87DDE73DF}" showGridLines="0" topLeftCell="A2">
      <selection activeCell="J37" sqref="J37"/>
      <pageMargins left="0" right="0" top="0" bottom="0" header="0" footer="0"/>
      <pageSetup orientation="portrait" horizontalDpi="4294967293" verticalDpi="0" r:id="rId1"/>
    </customSheetView>
  </customSheetViews>
  <mergeCells count="50">
    <mergeCell ref="R46:V46"/>
    <mergeCell ref="C210:H210"/>
    <mergeCell ref="I210:K210"/>
    <mergeCell ref="C211:E211"/>
    <mergeCell ref="F211:H211"/>
    <mergeCell ref="B194:L194"/>
    <mergeCell ref="C195:E195"/>
    <mergeCell ref="F195:H195"/>
    <mergeCell ref="I195:K195"/>
    <mergeCell ref="L195:L196"/>
    <mergeCell ref="D205:I205"/>
    <mergeCell ref="D206:F206"/>
    <mergeCell ref="G206:I206"/>
    <mergeCell ref="B183:C183"/>
    <mergeCell ref="D183:E183"/>
    <mergeCell ref="B172:B173"/>
    <mergeCell ref="D172:H172"/>
    <mergeCell ref="I172:L172"/>
    <mergeCell ref="M172:P172"/>
    <mergeCell ref="D182:E182"/>
    <mergeCell ref="M182:P182"/>
    <mergeCell ref="B2:D2"/>
    <mergeCell ref="B49:B52"/>
    <mergeCell ref="B53:B56"/>
    <mergeCell ref="D46:I46"/>
    <mergeCell ref="J46:O46"/>
    <mergeCell ref="B57:B60"/>
    <mergeCell ref="B61:B64"/>
    <mergeCell ref="B65:B68"/>
    <mergeCell ref="B70:B73"/>
    <mergeCell ref="B74:B77"/>
    <mergeCell ref="B78:B81"/>
    <mergeCell ref="B82:B85"/>
    <mergeCell ref="B86:B89"/>
    <mergeCell ref="B90:B93"/>
    <mergeCell ref="B94:B97"/>
    <mergeCell ref="B98:B101"/>
    <mergeCell ref="B102:B105"/>
    <mergeCell ref="B106:B109"/>
    <mergeCell ref="B110:B113"/>
    <mergeCell ref="B114:B117"/>
    <mergeCell ref="B139:B142"/>
    <mergeCell ref="B143:B146"/>
    <mergeCell ref="B147:B150"/>
    <mergeCell ref="B151:B154"/>
    <mergeCell ref="B118:B121"/>
    <mergeCell ref="B122:B125"/>
    <mergeCell ref="B126:B129"/>
    <mergeCell ref="B131:B134"/>
    <mergeCell ref="B135:B138"/>
  </mergeCells>
  <pageMargins left="0.7" right="0.7" top="0.75" bottom="0.75" header="0.3" footer="0.3"/>
  <pageSetup orientation="portrait" horizontalDpi="4294967293" verticalDpi="0"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6E9B0-32AE-4B6C-9253-F57E6C9A5624}">
  <dimension ref="A1:O174"/>
  <sheetViews>
    <sheetView zoomScale="75" workbookViewId="0">
      <pane xSplit="3" topLeftCell="D1" activePane="topRight" state="frozen"/>
      <selection activeCell="E177" sqref="E177"/>
      <selection pane="topRight" activeCell="P21" sqref="P21"/>
    </sheetView>
  </sheetViews>
  <sheetFormatPr baseColWidth="10" defaultColWidth="8.83203125" defaultRowHeight="15" x14ac:dyDescent="0.2"/>
  <cols>
    <col min="1" max="1" width="36.6640625" bestFit="1" customWidth="1"/>
    <col min="2" max="2" width="10" bestFit="1" customWidth="1"/>
    <col min="3" max="3" width="19.6640625" customWidth="1"/>
    <col min="4" max="4" width="20.6640625" customWidth="1"/>
    <col min="5" max="5" width="24.33203125" customWidth="1"/>
    <col min="6" max="6" width="11.5" customWidth="1"/>
    <col min="7" max="7" width="13.1640625" customWidth="1"/>
    <col min="8" max="8" width="25.5" customWidth="1"/>
    <col min="9" max="9" width="12.5" customWidth="1"/>
    <col min="10" max="10" width="16.5" customWidth="1"/>
    <col min="11" max="11" width="22.33203125" customWidth="1"/>
    <col min="12" max="12" width="18.6640625" customWidth="1"/>
    <col min="13" max="13" width="16.6640625" customWidth="1"/>
    <col min="14" max="14" width="19.5" customWidth="1"/>
    <col min="15" max="15" width="14.5" customWidth="1"/>
  </cols>
  <sheetData>
    <row r="1" spans="1:15" x14ac:dyDescent="0.2">
      <c r="A1" s="776" t="s">
        <v>257</v>
      </c>
      <c r="B1" s="776"/>
      <c r="C1" s="776"/>
      <c r="D1" s="776"/>
      <c r="E1" s="776"/>
      <c r="F1" s="776"/>
      <c r="G1" s="776"/>
      <c r="H1" s="776"/>
      <c r="I1" s="776"/>
      <c r="J1" s="776"/>
      <c r="K1" s="776"/>
      <c r="L1" s="776"/>
      <c r="M1" s="776"/>
      <c r="N1" s="776"/>
      <c r="O1" s="776"/>
    </row>
    <row r="2" spans="1:15" x14ac:dyDescent="0.2">
      <c r="A2" s="777" t="s">
        <v>258</v>
      </c>
      <c r="B2" s="778"/>
      <c r="C2" s="779"/>
      <c r="D2" s="780" t="s">
        <v>259</v>
      </c>
      <c r="E2" s="780"/>
      <c r="F2" s="780"/>
      <c r="G2" s="780"/>
      <c r="H2" s="780"/>
      <c r="I2" s="781"/>
      <c r="J2" s="782" t="s">
        <v>260</v>
      </c>
      <c r="K2" s="783"/>
      <c r="L2" s="783"/>
      <c r="M2" s="783"/>
      <c r="N2" s="783"/>
      <c r="O2" s="784"/>
    </row>
    <row r="3" spans="1:15" x14ac:dyDescent="0.2">
      <c r="A3" s="180">
        <f>A4*10</f>
        <v>0.40799999999999997</v>
      </c>
      <c r="B3" s="785" t="s">
        <v>261</v>
      </c>
      <c r="C3" s="786"/>
      <c r="D3" s="183">
        <v>2.9100000000000001E-2</v>
      </c>
      <c r="E3" s="181" t="s">
        <v>262</v>
      </c>
      <c r="F3" s="182"/>
      <c r="G3" s="184">
        <v>2.7799999999999998E-2</v>
      </c>
      <c r="H3" s="181" t="s">
        <v>263</v>
      </c>
      <c r="I3" s="182"/>
      <c r="J3" s="185">
        <v>6.2</v>
      </c>
      <c r="K3" s="181" t="s">
        <v>262</v>
      </c>
      <c r="L3" s="186"/>
      <c r="M3" s="185">
        <v>0.5</v>
      </c>
      <c r="N3" s="181" t="s">
        <v>263</v>
      </c>
      <c r="O3" s="186"/>
    </row>
    <row r="4" spans="1:15" x14ac:dyDescent="0.2">
      <c r="A4" s="180">
        <f>A5*12</f>
        <v>4.0799999999999996E-2</v>
      </c>
      <c r="B4" s="785" t="s">
        <v>264</v>
      </c>
      <c r="C4" s="786"/>
      <c r="D4" s="183">
        <v>2.5499999999999998E-2</v>
      </c>
      <c r="E4" s="181" t="s">
        <v>265</v>
      </c>
      <c r="F4" s="182"/>
      <c r="G4" s="187">
        <v>0.125</v>
      </c>
      <c r="H4" s="181" t="s">
        <v>266</v>
      </c>
      <c r="I4" s="182"/>
      <c r="J4" s="185">
        <v>5.8</v>
      </c>
      <c r="K4" s="181" t="s">
        <v>265</v>
      </c>
      <c r="L4" s="186"/>
      <c r="M4" s="185">
        <v>1.5</v>
      </c>
      <c r="N4" s="181" t="s">
        <v>266</v>
      </c>
      <c r="O4" s="186"/>
    </row>
    <row r="5" spans="1:15" x14ac:dyDescent="0.2">
      <c r="A5" s="512">
        <v>3.3999999999999998E-3</v>
      </c>
      <c r="B5" s="785" t="s">
        <v>267</v>
      </c>
      <c r="C5" s="786"/>
      <c r="D5" s="183">
        <v>1.14E-2</v>
      </c>
      <c r="E5" s="181" t="s">
        <v>268</v>
      </c>
      <c r="F5" s="182"/>
      <c r="G5" s="447">
        <v>2.7799999999999998E-2</v>
      </c>
      <c r="H5" s="181" t="s">
        <v>269</v>
      </c>
      <c r="I5" s="182"/>
      <c r="J5" s="185">
        <v>9.1999999999999993</v>
      </c>
      <c r="K5" s="181" t="s">
        <v>268</v>
      </c>
      <c r="L5" s="186"/>
      <c r="M5" s="185">
        <v>0.75</v>
      </c>
      <c r="N5" s="181" t="s">
        <v>269</v>
      </c>
      <c r="O5" s="186"/>
    </row>
    <row r="6" spans="1:15" x14ac:dyDescent="0.2">
      <c r="A6" s="188"/>
      <c r="C6" s="189"/>
      <c r="D6" s="190">
        <v>1.7899999999999999E-2</v>
      </c>
      <c r="E6" s="191" t="s">
        <v>270</v>
      </c>
      <c r="F6" s="192"/>
      <c r="G6" s="447">
        <v>9.2399999999999996E-2</v>
      </c>
      <c r="H6" s="191" t="s">
        <v>271</v>
      </c>
      <c r="I6" s="192"/>
      <c r="J6" s="193">
        <f>J3+J4</f>
        <v>12</v>
      </c>
      <c r="K6" s="191" t="s">
        <v>270</v>
      </c>
      <c r="L6" s="186"/>
      <c r="M6" s="193">
        <f>M3+M4</f>
        <v>2</v>
      </c>
      <c r="N6" s="191" t="s">
        <v>271</v>
      </c>
      <c r="O6" s="186"/>
    </row>
    <row r="7" spans="1:15" x14ac:dyDescent="0.2">
      <c r="A7" s="188"/>
      <c r="C7" s="194"/>
      <c r="D7" s="190">
        <v>2.0949452239092829E-2</v>
      </c>
      <c r="E7" s="191" t="s">
        <v>272</v>
      </c>
      <c r="F7" s="192"/>
      <c r="G7" s="541">
        <v>5.7000000000000002E-2</v>
      </c>
      <c r="H7" s="191" t="s">
        <v>273</v>
      </c>
      <c r="I7" s="192"/>
      <c r="J7" s="193">
        <f>J3+J4+J5</f>
        <v>21.2</v>
      </c>
      <c r="K7" s="191" t="s">
        <v>272</v>
      </c>
      <c r="L7" s="186"/>
      <c r="M7" s="193">
        <f>M3+M4+M5</f>
        <v>2.75</v>
      </c>
      <c r="N7" s="191" t="s">
        <v>273</v>
      </c>
      <c r="O7" s="186"/>
    </row>
    <row r="8" spans="1:15" x14ac:dyDescent="0.2">
      <c r="A8" s="195"/>
      <c r="E8" s="57"/>
      <c r="F8" s="194"/>
      <c r="G8" s="511">
        <v>0</v>
      </c>
      <c r="H8" s="191" t="s">
        <v>274</v>
      </c>
      <c r="I8" s="192"/>
      <c r="J8" s="57"/>
      <c r="L8" s="194"/>
      <c r="M8" s="193">
        <v>0</v>
      </c>
      <c r="N8" s="787" t="s">
        <v>275</v>
      </c>
      <c r="O8" s="788"/>
    </row>
    <row r="10" spans="1:15" ht="65" thickBot="1" x14ac:dyDescent="0.25">
      <c r="A10" s="196" t="s">
        <v>276</v>
      </c>
      <c r="B10" s="197"/>
      <c r="C10" s="198"/>
      <c r="D10" s="199" t="s">
        <v>277</v>
      </c>
      <c r="E10" s="199" t="s">
        <v>278</v>
      </c>
      <c r="F10" s="199" t="s">
        <v>279</v>
      </c>
      <c r="G10" s="199" t="s">
        <v>280</v>
      </c>
      <c r="H10" s="199" t="s">
        <v>281</v>
      </c>
      <c r="I10" s="296" t="s">
        <v>282</v>
      </c>
      <c r="J10" s="199" t="s">
        <v>283</v>
      </c>
      <c r="K10" s="328" t="s">
        <v>284</v>
      </c>
      <c r="L10" s="296" t="s">
        <v>285</v>
      </c>
      <c r="M10" s="296" t="s">
        <v>286</v>
      </c>
      <c r="N10" s="296" t="s">
        <v>287</v>
      </c>
      <c r="O10" s="296" t="s">
        <v>288</v>
      </c>
    </row>
    <row r="11" spans="1:15" ht="37.5" customHeight="1" thickBot="1" x14ac:dyDescent="0.25">
      <c r="A11" s="288"/>
      <c r="B11" s="289"/>
      <c r="C11" s="290"/>
      <c r="D11" s="291"/>
      <c r="E11" s="291"/>
      <c r="F11" s="291"/>
      <c r="G11" s="291"/>
      <c r="H11" s="291"/>
      <c r="I11" s="291"/>
      <c r="J11" s="291"/>
      <c r="K11" s="292"/>
      <c r="L11" s="291"/>
      <c r="M11" s="291"/>
      <c r="N11" s="291"/>
      <c r="O11" s="291"/>
    </row>
    <row r="12" spans="1:15" x14ac:dyDescent="0.2">
      <c r="A12" s="789" t="s">
        <v>289</v>
      </c>
      <c r="B12" s="789"/>
      <c r="C12" s="789"/>
      <c r="D12" s="200" t="s">
        <v>290</v>
      </c>
      <c r="E12" s="200" t="s">
        <v>290</v>
      </c>
      <c r="F12" s="200" t="s">
        <v>290</v>
      </c>
      <c r="G12" s="200" t="s">
        <v>290</v>
      </c>
      <c r="H12" s="201" t="s">
        <v>291</v>
      </c>
      <c r="I12" s="201" t="s">
        <v>291</v>
      </c>
      <c r="J12" s="201" t="s">
        <v>292</v>
      </c>
      <c r="K12" s="202" t="s">
        <v>290</v>
      </c>
      <c r="L12" s="200" t="s">
        <v>290</v>
      </c>
      <c r="M12" s="200" t="s">
        <v>290</v>
      </c>
      <c r="N12" s="200" t="s">
        <v>290</v>
      </c>
      <c r="O12" s="200"/>
    </row>
    <row r="13" spans="1:15" x14ac:dyDescent="0.2">
      <c r="A13" s="775" t="s">
        <v>293</v>
      </c>
      <c r="B13" s="775"/>
      <c r="C13" s="775"/>
      <c r="D13" s="200" t="s">
        <v>294</v>
      </c>
      <c r="E13" s="200" t="s">
        <v>294</v>
      </c>
      <c r="F13" s="200" t="s">
        <v>294</v>
      </c>
      <c r="G13" s="200" t="s">
        <v>294</v>
      </c>
      <c r="H13" s="201" t="s">
        <v>295</v>
      </c>
      <c r="I13" s="201" t="s">
        <v>295</v>
      </c>
      <c r="J13" s="201" t="s">
        <v>295</v>
      </c>
      <c r="K13" s="202" t="s">
        <v>294</v>
      </c>
      <c r="L13" s="200" t="s">
        <v>294</v>
      </c>
      <c r="M13" s="200" t="s">
        <v>294</v>
      </c>
      <c r="N13" s="200" t="s">
        <v>294</v>
      </c>
      <c r="O13" s="200"/>
    </row>
    <row r="14" spans="1:15" x14ac:dyDescent="0.2">
      <c r="A14" s="775" t="s">
        <v>180</v>
      </c>
      <c r="B14" s="775"/>
      <c r="C14" s="775"/>
      <c r="D14" s="200" t="s">
        <v>296</v>
      </c>
      <c r="E14" s="200" t="s">
        <v>296</v>
      </c>
      <c r="F14" s="200" t="s">
        <v>296</v>
      </c>
      <c r="G14" s="200" t="s">
        <v>296</v>
      </c>
      <c r="H14" s="200" t="s">
        <v>296</v>
      </c>
      <c r="I14" s="200" t="s">
        <v>296</v>
      </c>
      <c r="J14" s="200" t="s">
        <v>296</v>
      </c>
      <c r="K14" s="202" t="s">
        <v>297</v>
      </c>
      <c r="L14" s="200" t="s">
        <v>297</v>
      </c>
      <c r="M14" s="200" t="s">
        <v>297</v>
      </c>
      <c r="N14" s="200" t="s">
        <v>297</v>
      </c>
      <c r="O14" s="200"/>
    </row>
    <row r="15" spans="1:15" x14ac:dyDescent="0.2">
      <c r="A15" s="775" t="s">
        <v>298</v>
      </c>
      <c r="B15" s="775"/>
      <c r="C15" s="775"/>
      <c r="D15" s="200" t="s">
        <v>180</v>
      </c>
      <c r="E15" s="200" t="s">
        <v>299</v>
      </c>
      <c r="F15" s="200" t="s">
        <v>299</v>
      </c>
      <c r="G15" s="200" t="s">
        <v>74</v>
      </c>
      <c r="H15" s="200" t="s">
        <v>299</v>
      </c>
      <c r="I15" s="200" t="s">
        <v>299</v>
      </c>
      <c r="J15" s="200" t="s">
        <v>300</v>
      </c>
      <c r="K15" s="202" t="s">
        <v>300</v>
      </c>
      <c r="L15" s="200" t="s">
        <v>300</v>
      </c>
      <c r="M15" s="200" t="s">
        <v>300</v>
      </c>
      <c r="N15" s="200" t="s">
        <v>74</v>
      </c>
      <c r="O15" s="200"/>
    </row>
    <row r="16" spans="1:15" x14ac:dyDescent="0.2">
      <c r="A16" s="775" t="s">
        <v>301</v>
      </c>
      <c r="B16" s="775"/>
      <c r="C16" s="775"/>
      <c r="D16" s="203">
        <v>5</v>
      </c>
      <c r="E16" s="203">
        <v>1</v>
      </c>
      <c r="F16" s="203">
        <v>10</v>
      </c>
      <c r="G16" s="203">
        <v>3</v>
      </c>
      <c r="H16" s="200">
        <v>5</v>
      </c>
      <c r="I16" s="200">
        <v>5</v>
      </c>
      <c r="J16" s="200" t="s">
        <v>302</v>
      </c>
      <c r="K16" s="204">
        <v>3</v>
      </c>
      <c r="L16" s="203">
        <v>1</v>
      </c>
      <c r="M16" s="203">
        <v>1</v>
      </c>
      <c r="N16" s="203">
        <v>1</v>
      </c>
      <c r="O16" s="203"/>
    </row>
    <row r="17" spans="1:15" x14ac:dyDescent="0.2">
      <c r="A17" s="205" t="s">
        <v>303</v>
      </c>
      <c r="B17" s="205"/>
      <c r="C17" s="206"/>
      <c r="D17" s="207"/>
      <c r="E17" s="207"/>
      <c r="F17" s="207"/>
      <c r="G17" s="207"/>
      <c r="H17" s="207"/>
      <c r="I17" s="207"/>
      <c r="J17" s="207"/>
      <c r="K17" s="208"/>
      <c r="L17" s="209"/>
      <c r="M17" s="209"/>
      <c r="N17" s="209"/>
      <c r="O17" s="209"/>
    </row>
    <row r="18" spans="1:15" x14ac:dyDescent="0.2">
      <c r="A18" s="795" t="s">
        <v>304</v>
      </c>
      <c r="B18" s="795"/>
      <c r="C18" s="795"/>
      <c r="D18" s="210">
        <f t="shared" ref="D18:N18" si="0">SUM(D43,D65,D87,D109)</f>
        <v>0.94666147724833793</v>
      </c>
      <c r="E18" s="210">
        <f t="shared" si="0"/>
        <v>0.90373320817077385</v>
      </c>
      <c r="F18" s="210">
        <f t="shared" si="0"/>
        <v>5.3526001224192488E-2</v>
      </c>
      <c r="G18" s="210">
        <f t="shared" si="0"/>
        <v>0.94956693355932198</v>
      </c>
      <c r="H18" s="210">
        <f t="shared" si="0"/>
        <v>0</v>
      </c>
      <c r="I18" s="210">
        <f t="shared" si="0"/>
        <v>0.40684127999999997</v>
      </c>
      <c r="J18" s="211">
        <f t="shared" si="0"/>
        <v>4.9469999999999994E-4</v>
      </c>
      <c r="K18" s="212">
        <f t="shared" si="0"/>
        <v>2.3817630517389828E-2</v>
      </c>
      <c r="L18" s="210">
        <f t="shared" si="0"/>
        <v>0.23042131449743786</v>
      </c>
      <c r="M18" s="210">
        <f t="shared" si="0"/>
        <v>7.2248031891168601E-2</v>
      </c>
      <c r="N18" s="210">
        <f t="shared" si="0"/>
        <v>1.6642933805309734E-2</v>
      </c>
      <c r="O18" s="210">
        <f t="shared" ref="O18" si="1">SUM(O43,O65,O87,O109)</f>
        <v>2.7646079999999996E-2</v>
      </c>
    </row>
    <row r="19" spans="1:15" x14ac:dyDescent="0.2">
      <c r="A19" s="795" t="s">
        <v>305</v>
      </c>
      <c r="B19" s="795"/>
      <c r="C19" s="795"/>
      <c r="D19" s="210">
        <f>SUM(D50,D72,D94,D116)</f>
        <v>0.62209535665623772</v>
      </c>
      <c r="E19" s="210">
        <f t="shared" ref="E19:N19" si="2">SUM(E50,E72,E94,E116)</f>
        <v>0.9324863664419295</v>
      </c>
      <c r="F19" s="210">
        <f t="shared" si="2"/>
        <v>3.5988744863646213E-2</v>
      </c>
      <c r="G19" s="210">
        <f t="shared" si="2"/>
        <v>0</v>
      </c>
      <c r="H19" s="210">
        <f t="shared" si="2"/>
        <v>0.7715987611837577</v>
      </c>
      <c r="I19" s="210">
        <f t="shared" si="2"/>
        <v>1.4070196199999998</v>
      </c>
      <c r="J19" s="211">
        <f t="shared" si="2"/>
        <v>0</v>
      </c>
      <c r="K19" s="212">
        <f t="shared" si="2"/>
        <v>4.0449011897617862E-2</v>
      </c>
      <c r="L19" s="210">
        <f t="shared" si="2"/>
        <v>0.57301099894363405</v>
      </c>
      <c r="M19" s="210">
        <f t="shared" si="2"/>
        <v>0.15127692350579838</v>
      </c>
      <c r="N19" s="210">
        <f t="shared" si="2"/>
        <v>0</v>
      </c>
      <c r="O19" s="210">
        <f t="shared" ref="O19" si="3">SUM(O50,O72,O94,O116)</f>
        <v>2.9531039999999998E-2</v>
      </c>
    </row>
    <row r="20" spans="1:15" x14ac:dyDescent="0.2">
      <c r="A20" s="795" t="s">
        <v>306</v>
      </c>
      <c r="B20" s="795"/>
      <c r="C20" s="795"/>
      <c r="D20" s="210">
        <f t="shared" ref="D20:N20" si="4">SUM(D57,D79,D101,D123)</f>
        <v>1.2109618284192414</v>
      </c>
      <c r="E20" s="210">
        <f t="shared" si="4"/>
        <v>1.2840293347683127</v>
      </c>
      <c r="F20" s="210">
        <f t="shared" si="4"/>
        <v>0.56242618799531752</v>
      </c>
      <c r="G20" s="210">
        <f t="shared" si="4"/>
        <v>8.6992144067796597E-4</v>
      </c>
      <c r="H20" s="210">
        <f t="shared" si="4"/>
        <v>0</v>
      </c>
      <c r="I20" s="210">
        <f t="shared" si="4"/>
        <v>2.9023487999999997E-2</v>
      </c>
      <c r="J20" s="211">
        <f t="shared" si="4"/>
        <v>0</v>
      </c>
      <c r="K20" s="212">
        <f t="shared" si="4"/>
        <v>2.3412850861272729E-2</v>
      </c>
      <c r="L20" s="210">
        <f t="shared" si="4"/>
        <v>0.33683899038234133</v>
      </c>
      <c r="M20" s="210">
        <f t="shared" si="4"/>
        <v>7.7012246320249764E-2</v>
      </c>
      <c r="N20" s="210">
        <f t="shared" si="4"/>
        <v>0</v>
      </c>
      <c r="O20" s="210">
        <f t="shared" ref="O20" si="5">SUM(O57,O79,O101,O123)</f>
        <v>8.0341999999999983E-3</v>
      </c>
    </row>
    <row r="21" spans="1:15" x14ac:dyDescent="0.2">
      <c r="A21" s="775" t="s">
        <v>307</v>
      </c>
      <c r="B21" s="775"/>
      <c r="C21" s="775"/>
      <c r="D21" s="213">
        <f t="shared" ref="D21:N21" si="6">D18+D19</f>
        <v>1.5687568339045757</v>
      </c>
      <c r="E21" s="213">
        <f t="shared" si="6"/>
        <v>1.8362195746127035</v>
      </c>
      <c r="F21" s="213">
        <f t="shared" si="6"/>
        <v>8.9514746087838701E-2</v>
      </c>
      <c r="G21" s="213">
        <f t="shared" si="6"/>
        <v>0.94956693355932198</v>
      </c>
      <c r="H21" s="213">
        <f t="shared" si="6"/>
        <v>0.7715987611837577</v>
      </c>
      <c r="I21" s="213">
        <f t="shared" si="6"/>
        <v>1.8138608999999999</v>
      </c>
      <c r="J21" s="214">
        <f t="shared" si="6"/>
        <v>4.9469999999999994E-4</v>
      </c>
      <c r="K21" s="215">
        <f t="shared" si="6"/>
        <v>6.4266642415007694E-2</v>
      </c>
      <c r="L21" s="213">
        <f t="shared" si="6"/>
        <v>0.80343231344107191</v>
      </c>
      <c r="M21" s="213">
        <f t="shared" si="6"/>
        <v>0.22352495539696698</v>
      </c>
      <c r="N21" s="213">
        <f t="shared" si="6"/>
        <v>1.6642933805309734E-2</v>
      </c>
      <c r="O21" s="213">
        <f t="shared" ref="O21" si="7">O18+O19</f>
        <v>5.7177119999999998E-2</v>
      </c>
    </row>
    <row r="22" spans="1:15" x14ac:dyDescent="0.2">
      <c r="A22" s="796" t="s">
        <v>308</v>
      </c>
      <c r="B22" s="796"/>
      <c r="C22" s="796"/>
      <c r="D22" s="216">
        <f>D18+D19+D20</f>
        <v>2.779718662323817</v>
      </c>
      <c r="E22" s="216">
        <f t="shared" ref="E22:N22" si="8">E18+E19+E20</f>
        <v>3.120248909381016</v>
      </c>
      <c r="F22" s="216">
        <f t="shared" si="8"/>
        <v>0.65194093408315623</v>
      </c>
      <c r="G22" s="216">
        <f t="shared" si="8"/>
        <v>0.95043685499999997</v>
      </c>
      <c r="H22" s="216">
        <f t="shared" si="8"/>
        <v>0.7715987611837577</v>
      </c>
      <c r="I22" s="216">
        <f t="shared" si="8"/>
        <v>1.8428843879999999</v>
      </c>
      <c r="J22" s="217">
        <f t="shared" si="8"/>
        <v>4.9469999999999994E-4</v>
      </c>
      <c r="K22" s="218">
        <f t="shared" si="8"/>
        <v>8.7679493276280426E-2</v>
      </c>
      <c r="L22" s="216">
        <f t="shared" si="8"/>
        <v>1.1402713038234134</v>
      </c>
      <c r="M22" s="216">
        <f t="shared" si="8"/>
        <v>0.30053720171721676</v>
      </c>
      <c r="N22" s="216">
        <f t="shared" si="8"/>
        <v>1.6642933805309734E-2</v>
      </c>
      <c r="O22" s="216">
        <f t="shared" ref="O22" si="9">O18+O19+O20</f>
        <v>6.5211319999999989E-2</v>
      </c>
    </row>
    <row r="23" spans="1:15" x14ac:dyDescent="0.2">
      <c r="A23" s="775" t="s">
        <v>309</v>
      </c>
      <c r="B23" s="775"/>
      <c r="C23" s="775"/>
      <c r="D23" s="219">
        <f>(D30*$A$3)+(D31*$A$4)+(D32*$A$5)</f>
        <v>48.411239999999992</v>
      </c>
      <c r="E23" s="219">
        <f>(E30*$A$3)+(E31*$A$4)+(E32*$A$5)</f>
        <v>57.134959999999992</v>
      </c>
      <c r="F23" s="219">
        <f>(F30*$A$3)+(F31*$A$4)+(F32*$A$5)</f>
        <v>18.171639999999996</v>
      </c>
      <c r="G23" s="219">
        <f>(G30*$A$3)+(G31*$A$4)+(G32*$A$5)</f>
        <v>10.76576</v>
      </c>
      <c r="H23" s="219">
        <f>((H30)+(H31)+(H32))</f>
        <v>2</v>
      </c>
      <c r="I23" s="219">
        <f>I130</f>
        <v>27.6692</v>
      </c>
      <c r="J23" s="220">
        <f t="shared" ref="J23:N23" si="10">(J30*$A$3)+(J31*$A$4)+(J32*$A$5)</f>
        <v>5.0999999999999995E-3</v>
      </c>
      <c r="K23" s="221">
        <f t="shared" si="10"/>
        <v>0.49299999999999999</v>
      </c>
      <c r="L23" s="219">
        <f t="shared" si="10"/>
        <v>4.5627999999999993</v>
      </c>
      <c r="M23" s="222">
        <f t="shared" si="10"/>
        <v>2.8559999999999999E-2</v>
      </c>
      <c r="N23" s="223">
        <f t="shared" si="10"/>
        <v>6.5279999999999991E-2</v>
      </c>
      <c r="O23" s="223" t="e">
        <f>(O30*$A$3)+(O31*$A$4)+(O32*$A$5)</f>
        <v>#DIV/0!</v>
      </c>
    </row>
    <row r="24" spans="1:15" x14ac:dyDescent="0.2">
      <c r="A24" s="796" t="s">
        <v>310</v>
      </c>
      <c r="B24" s="796"/>
      <c r="C24" s="796"/>
      <c r="D24" s="224">
        <f>D23*$D$7</f>
        <v>1.0141889602152603</v>
      </c>
      <c r="E24" s="224">
        <f>E23*$D$6</f>
        <v>1.0227157839999999</v>
      </c>
      <c r="F24" s="224">
        <f>F23*$D$6</f>
        <v>0.32527235599999993</v>
      </c>
      <c r="G24" s="224">
        <f>G23*$D$3</f>
        <v>0.31328361600000004</v>
      </c>
      <c r="H24" s="225">
        <f>H23*$D$3</f>
        <v>5.8200000000000002E-2</v>
      </c>
      <c r="I24" s="225">
        <f>I131</f>
        <v>0.80517371999999998</v>
      </c>
      <c r="J24" s="226">
        <f>J23*$D$7</f>
        <v>1.0684220641937342E-4</v>
      </c>
      <c r="K24" s="227">
        <f>K23*$G$6</f>
        <v>4.5553199999999995E-2</v>
      </c>
      <c r="L24" s="225">
        <f>L23*$G$6</f>
        <v>0.42160271999999993</v>
      </c>
      <c r="M24" s="225">
        <f>M23*$G$6</f>
        <v>2.6389439999999998E-3</v>
      </c>
      <c r="N24" s="225">
        <f>N23*$G$6</f>
        <v>6.0318719999999989E-3</v>
      </c>
      <c r="O24" s="225" t="e">
        <f>O23*$G$6</f>
        <v>#DIV/0!</v>
      </c>
    </row>
    <row r="25" spans="1:15" x14ac:dyDescent="0.2">
      <c r="A25" s="797" t="s">
        <v>311</v>
      </c>
      <c r="B25" s="797"/>
      <c r="C25" s="797"/>
      <c r="D25" s="228">
        <f>D24/$J$6</f>
        <v>8.4515746684605028E-2</v>
      </c>
      <c r="E25" s="228">
        <f>E24/$J$6</f>
        <v>8.5226315333333316E-2</v>
      </c>
      <c r="F25" s="228">
        <f>F24/$J$6</f>
        <v>2.710602966666666E-2</v>
      </c>
      <c r="G25" s="228">
        <f>G24/$J$3</f>
        <v>5.0529615483870971E-2</v>
      </c>
      <c r="H25" s="229">
        <f>H24/$J$6</f>
        <v>4.8500000000000001E-3</v>
      </c>
      <c r="I25" s="228">
        <f>I24/$J$6</f>
        <v>6.7097809999999994E-2</v>
      </c>
      <c r="J25" s="228">
        <f>J24/$J$7</f>
        <v>5.0397267178949729E-6</v>
      </c>
      <c r="K25" s="230">
        <f>K24/$M$7</f>
        <v>1.6564799999999998E-2</v>
      </c>
      <c r="L25" s="228">
        <f>L24/$M$7</f>
        <v>0.15331007999999999</v>
      </c>
      <c r="M25" s="228">
        <f>M24/$M$7</f>
        <v>9.5961599999999994E-4</v>
      </c>
      <c r="N25" s="228">
        <f>N24/$M$7</f>
        <v>2.1934079999999996E-3</v>
      </c>
      <c r="O25" s="228" t="e">
        <f>O24/$M$7</f>
        <v>#DIV/0!</v>
      </c>
    </row>
    <row r="26" spans="1:15" x14ac:dyDescent="0.2">
      <c r="A26" s="790" t="s">
        <v>312</v>
      </c>
      <c r="B26" s="798" t="s">
        <v>180</v>
      </c>
      <c r="C26" t="s">
        <v>261</v>
      </c>
      <c r="D26" s="231">
        <f t="shared" ref="D26:I26" si="11">D30/D34</f>
        <v>2.0032155738061099E-3</v>
      </c>
      <c r="E26" s="232">
        <f t="shared" si="11"/>
        <v>5.3958159352289091E-4</v>
      </c>
      <c r="F26" s="231">
        <f t="shared" si="11"/>
        <v>1.5087795360936482E-3</v>
      </c>
      <c r="G26" s="231">
        <f t="shared" si="11"/>
        <v>1.3085742771684946E-3</v>
      </c>
      <c r="H26" s="231">
        <f t="shared" si="11"/>
        <v>0</v>
      </c>
      <c r="I26" s="231">
        <f t="shared" si="11"/>
        <v>3.3598387277410683E-3</v>
      </c>
      <c r="J26" s="231">
        <v>0</v>
      </c>
      <c r="K26" s="233">
        <f>K30/K34</f>
        <v>0</v>
      </c>
      <c r="L26" s="231">
        <f>L30/L34</f>
        <v>1.7916651736123556E-4</v>
      </c>
      <c r="M26" s="231">
        <f>M30/M34</f>
        <v>0</v>
      </c>
      <c r="N26" s="231">
        <f>N30/N34</f>
        <v>0</v>
      </c>
      <c r="O26" s="231" t="e">
        <f>O30/O34</f>
        <v>#DIV/0!</v>
      </c>
    </row>
    <row r="27" spans="1:15" x14ac:dyDescent="0.2">
      <c r="A27" s="790"/>
      <c r="B27" s="798"/>
      <c r="C27" t="s">
        <v>264</v>
      </c>
      <c r="D27" s="231">
        <f t="shared" ref="D27:I27" si="12">D31/D34</f>
        <v>7.3871290140355454E-4</v>
      </c>
      <c r="E27" s="232">
        <f t="shared" si="12"/>
        <v>4.9964545584438747E-4</v>
      </c>
      <c r="F27" s="231">
        <f t="shared" si="12"/>
        <v>1.3093431606329936E-3</v>
      </c>
      <c r="G27" s="231">
        <f t="shared" si="12"/>
        <v>5.2654536390827518E-3</v>
      </c>
      <c r="H27" s="231">
        <f t="shared" si="12"/>
        <v>1.5294027682190105E-4</v>
      </c>
      <c r="I27" s="231">
        <f t="shared" si="12"/>
        <v>5.5101355134953525E-2</v>
      </c>
      <c r="J27" s="231">
        <v>0</v>
      </c>
      <c r="K27" s="233">
        <f>K31/K34</f>
        <v>7.1750984945338802E-4</v>
      </c>
      <c r="L27" s="231">
        <f>L31/L34</f>
        <v>1.1789156842369298E-2</v>
      </c>
      <c r="M27" s="234">
        <f>M31/M34</f>
        <v>4.1815343443354152E-5</v>
      </c>
      <c r="N27" s="231">
        <f>N31/N34</f>
        <v>8.4281500210703754E-4</v>
      </c>
      <c r="O27" s="231" t="e">
        <f>O31/O34</f>
        <v>#DIV/0!</v>
      </c>
    </row>
    <row r="28" spans="1:15" x14ac:dyDescent="0.2">
      <c r="A28" s="790"/>
      <c r="B28" s="798"/>
      <c r="C28" t="s">
        <v>313</v>
      </c>
      <c r="D28" s="231">
        <f t="shared" ref="D28:I28" si="13">D32/D34</f>
        <v>6.0109503324208051E-2</v>
      </c>
      <c r="E28" s="232">
        <f t="shared" si="13"/>
        <v>3.8214446409696851E-3</v>
      </c>
      <c r="F28" s="231">
        <f t="shared" si="13"/>
        <v>3.4953392586169522E-2</v>
      </c>
      <c r="G28" s="231">
        <f t="shared" si="13"/>
        <v>2.6420737786640079E-2</v>
      </c>
      <c r="H28" s="231">
        <f t="shared" si="13"/>
        <v>0</v>
      </c>
      <c r="I28" s="231">
        <f t="shared" si="13"/>
        <v>0.24534289020793668</v>
      </c>
      <c r="J28" s="231">
        <v>1</v>
      </c>
      <c r="K28" s="233">
        <f>K32/K34</f>
        <v>8.479661857176404E-4</v>
      </c>
      <c r="L28" s="231">
        <f>L32/L34</f>
        <v>7.7471602106998244E-2</v>
      </c>
      <c r="M28" s="232">
        <f>M32/M34</f>
        <v>8.3630686886708303E-5</v>
      </c>
      <c r="N28" s="231">
        <f>N32/N34</f>
        <v>0</v>
      </c>
      <c r="O28" s="231" t="e">
        <f>O32/O34</f>
        <v>#DIV/0!</v>
      </c>
    </row>
    <row r="29" spans="1:15" x14ac:dyDescent="0.2">
      <c r="A29" s="794"/>
      <c r="B29" s="776"/>
      <c r="C29" s="235" t="s">
        <v>314</v>
      </c>
      <c r="D29" s="225">
        <f>D33/D34</f>
        <v>6.2851431799417726E-2</v>
      </c>
      <c r="E29" s="225">
        <f t="shared" ref="E29:I29" si="14">E33/E34</f>
        <v>4.8606716903369642E-3</v>
      </c>
      <c r="F29" s="225">
        <f t="shared" si="14"/>
        <v>3.7771515282896163E-2</v>
      </c>
      <c r="G29" s="225">
        <f t="shared" si="14"/>
        <v>3.2994765702891331E-2</v>
      </c>
      <c r="H29" s="225">
        <f t="shared" si="14"/>
        <v>1.5294027682190105E-4</v>
      </c>
      <c r="I29" s="225">
        <f t="shared" si="14"/>
        <v>0.30380408407063125</v>
      </c>
      <c r="J29" s="225">
        <v>1</v>
      </c>
      <c r="K29" s="227">
        <f>K33/K34</f>
        <v>1.5654760351710283E-3</v>
      </c>
      <c r="L29" s="225">
        <f>L33/L34</f>
        <v>8.9439925466728784E-2</v>
      </c>
      <c r="M29" s="225">
        <f>M33/M34</f>
        <v>1.2544603033006244E-4</v>
      </c>
      <c r="N29" s="225">
        <f>N33/N34</f>
        <v>8.4281500210703754E-4</v>
      </c>
      <c r="O29" s="225" t="e">
        <f>O33/O34</f>
        <v>#DIV/0!</v>
      </c>
    </row>
    <row r="30" spans="1:15" x14ac:dyDescent="0.2">
      <c r="A30" s="790" t="s">
        <v>315</v>
      </c>
      <c r="B30" s="793" t="s">
        <v>180</v>
      </c>
      <c r="C30" t="s">
        <v>261</v>
      </c>
      <c r="D30" s="236">
        <f>AVERAGE(D147,D152,D157,D162,D167)</f>
        <v>92.2</v>
      </c>
      <c r="E30" s="236">
        <f t="shared" ref="D30:F34" si="15">AVERAGE(E147,E152,E157,E162,E167)</f>
        <v>121.6</v>
      </c>
      <c r="F30" s="236">
        <f t="shared" si="15"/>
        <v>34.799999999999997</v>
      </c>
      <c r="G30" s="236">
        <f t="shared" ref="G30:H34" si="16">AVERAGE(G125,G147,G152,G157,G162)</f>
        <v>16.8</v>
      </c>
      <c r="H30" s="236">
        <f t="shared" si="16"/>
        <v>0</v>
      </c>
      <c r="I30" s="236">
        <f>AVERAGE(I125)</f>
        <v>90</v>
      </c>
      <c r="J30" s="236">
        <f>AVERAGE(J132,J147,J152,J157,J162,J167)</f>
        <v>0</v>
      </c>
      <c r="K30" s="237">
        <f t="shared" ref="K30:N34" si="17">AVERAGE(K147,K152,K157,K162,K167)</f>
        <v>0</v>
      </c>
      <c r="L30" s="236">
        <f t="shared" si="17"/>
        <v>1</v>
      </c>
      <c r="M30" s="236">
        <f t="shared" si="17"/>
        <v>0</v>
      </c>
      <c r="N30" s="236">
        <f t="shared" si="17"/>
        <v>0</v>
      </c>
      <c r="O30" s="236" t="e">
        <f t="shared" ref="O30" si="18">AVERAGE(O147,O152,O157,O162,O167)</f>
        <v>#DIV/0!</v>
      </c>
    </row>
    <row r="31" spans="1:15" x14ac:dyDescent="0.2">
      <c r="A31" s="791"/>
      <c r="B31" s="790"/>
      <c r="C31" t="s">
        <v>264</v>
      </c>
      <c r="D31" s="236">
        <f t="shared" si="15"/>
        <v>34</v>
      </c>
      <c r="E31" s="236">
        <f t="shared" si="15"/>
        <v>112.6</v>
      </c>
      <c r="F31" s="236">
        <f t="shared" si="15"/>
        <v>30.2</v>
      </c>
      <c r="G31" s="236">
        <f t="shared" si="16"/>
        <v>67.599999999999994</v>
      </c>
      <c r="H31" s="236">
        <f t="shared" si="16"/>
        <v>2</v>
      </c>
      <c r="I31" s="236">
        <f>AVERAGE(I126)</f>
        <v>1476</v>
      </c>
      <c r="J31" s="236">
        <f>AVERAGE(J133,J148,J153,J158,J163,J168)</f>
        <v>0</v>
      </c>
      <c r="K31" s="237">
        <f t="shared" si="17"/>
        <v>11</v>
      </c>
      <c r="L31" s="236">
        <f t="shared" si="17"/>
        <v>65.8</v>
      </c>
      <c r="M31" s="236">
        <f t="shared" si="17"/>
        <v>0.6</v>
      </c>
      <c r="N31" s="236">
        <f t="shared" si="17"/>
        <v>1.6</v>
      </c>
      <c r="O31" s="236" t="e">
        <f t="shared" ref="O31" si="19">AVERAGE(O148,O153,O158,O163,O168)</f>
        <v>#DIV/0!</v>
      </c>
    </row>
    <row r="32" spans="1:15" x14ac:dyDescent="0.2">
      <c r="A32" s="791"/>
      <c r="B32" s="790"/>
      <c r="C32" t="s">
        <v>313</v>
      </c>
      <c r="D32" s="236">
        <f t="shared" si="15"/>
        <v>2766.6</v>
      </c>
      <c r="E32" s="236">
        <f t="shared" si="15"/>
        <v>861.2</v>
      </c>
      <c r="F32" s="236">
        <f t="shared" si="15"/>
        <v>806.2</v>
      </c>
      <c r="G32" s="236">
        <f t="shared" si="16"/>
        <v>339.2</v>
      </c>
      <c r="H32" s="236">
        <f t="shared" si="16"/>
        <v>0</v>
      </c>
      <c r="I32" s="236">
        <f>AVERAGE(I127)</f>
        <v>6572</v>
      </c>
      <c r="J32" s="236">
        <f>AVERAGE(J134,J149,J154,J159,J164,J169)</f>
        <v>1.5</v>
      </c>
      <c r="K32" s="237">
        <f t="shared" si="17"/>
        <v>13</v>
      </c>
      <c r="L32" s="236">
        <f t="shared" si="17"/>
        <v>432.4</v>
      </c>
      <c r="M32" s="236">
        <f t="shared" si="17"/>
        <v>1.2</v>
      </c>
      <c r="N32" s="236">
        <f t="shared" si="17"/>
        <v>0</v>
      </c>
      <c r="O32" s="236" t="e">
        <f t="shared" ref="O32" si="20">AVERAGE(O149,O154,O159,O164,O169)</f>
        <v>#DIV/0!</v>
      </c>
    </row>
    <row r="33" spans="1:15" x14ac:dyDescent="0.2">
      <c r="A33" s="791"/>
      <c r="B33" s="790"/>
      <c r="C33" s="42" t="s">
        <v>316</v>
      </c>
      <c r="D33" s="219">
        <f t="shared" si="15"/>
        <v>2892.8</v>
      </c>
      <c r="E33" s="219">
        <f t="shared" si="15"/>
        <v>1095.4000000000001</v>
      </c>
      <c r="F33" s="219">
        <f t="shared" si="15"/>
        <v>871.2</v>
      </c>
      <c r="G33" s="219">
        <f t="shared" si="16"/>
        <v>423.6</v>
      </c>
      <c r="H33" s="219">
        <f t="shared" si="16"/>
        <v>2</v>
      </c>
      <c r="I33" s="219">
        <f>AVERAGE(I128)</f>
        <v>8138</v>
      </c>
      <c r="J33" s="219">
        <f>AVERAGE(J135,J150,J155,J160,J165,J170)</f>
        <v>1.5</v>
      </c>
      <c r="K33" s="238">
        <f t="shared" si="17"/>
        <v>24</v>
      </c>
      <c r="L33" s="219">
        <f t="shared" si="17"/>
        <v>499.2</v>
      </c>
      <c r="M33" s="219">
        <f t="shared" si="17"/>
        <v>1.8</v>
      </c>
      <c r="N33" s="219">
        <f t="shared" si="17"/>
        <v>1.6</v>
      </c>
      <c r="O33" s="219" t="e">
        <f t="shared" ref="O33" si="21">AVERAGE(O150,O155,O160,O165,O170)</f>
        <v>#DIV/0!</v>
      </c>
    </row>
    <row r="34" spans="1:15" x14ac:dyDescent="0.2">
      <c r="A34" s="792"/>
      <c r="B34" s="794"/>
      <c r="C34" s="235" t="s">
        <v>317</v>
      </c>
      <c r="D34" s="239">
        <f t="shared" si="15"/>
        <v>46026</v>
      </c>
      <c r="E34" s="240">
        <f t="shared" si="15"/>
        <v>225359.8</v>
      </c>
      <c r="F34" s="240">
        <f t="shared" si="15"/>
        <v>23065</v>
      </c>
      <c r="G34" s="240">
        <f t="shared" si="16"/>
        <v>12838.4</v>
      </c>
      <c r="H34" s="240">
        <f t="shared" si="16"/>
        <v>13077</v>
      </c>
      <c r="I34" s="240">
        <f>AVERAGE(I129)</f>
        <v>26787</v>
      </c>
      <c r="J34" s="240">
        <f>AVERAGE(J136,J151)</f>
        <v>1.5</v>
      </c>
      <c r="K34" s="590">
        <f t="shared" si="17"/>
        <v>15330.8</v>
      </c>
      <c r="L34" s="240">
        <f t="shared" si="17"/>
        <v>5581.4</v>
      </c>
      <c r="M34" s="240">
        <f t="shared" si="17"/>
        <v>14348.8</v>
      </c>
      <c r="N34" s="240">
        <f t="shared" si="17"/>
        <v>1898.4</v>
      </c>
      <c r="O34" s="240" t="e">
        <f>AVERAGE(O151,O156,O161,O166,O171)</f>
        <v>#DIV/0!</v>
      </c>
    </row>
    <row r="35" spans="1:15" x14ac:dyDescent="0.2">
      <c r="A35" s="241" t="s">
        <v>318</v>
      </c>
      <c r="B35" s="241"/>
      <c r="C35" s="242"/>
      <c r="D35" s="243"/>
      <c r="E35" s="243"/>
      <c r="F35" s="243"/>
      <c r="G35" s="243"/>
      <c r="H35" s="243"/>
      <c r="I35" s="243"/>
      <c r="J35" s="243"/>
      <c r="K35" s="243"/>
      <c r="L35" s="243"/>
      <c r="M35" s="243"/>
      <c r="N35" s="243"/>
      <c r="O35" s="243"/>
    </row>
    <row r="36" spans="1:15" x14ac:dyDescent="0.2">
      <c r="A36" s="799">
        <v>2024</v>
      </c>
      <c r="B36" s="244" t="s">
        <v>120</v>
      </c>
      <c r="C36" s="245" t="s">
        <v>319</v>
      </c>
      <c r="D36" s="246">
        <f t="shared" ref="D36:N36" si="22">D41+D48</f>
        <v>16390</v>
      </c>
      <c r="E36" s="246">
        <f t="shared" si="22"/>
        <v>86122</v>
      </c>
      <c r="F36" s="246">
        <f t="shared" si="22"/>
        <v>2000</v>
      </c>
      <c r="G36" s="246">
        <f t="shared" si="22"/>
        <v>11596</v>
      </c>
      <c r="H36" s="246">
        <f t="shared" si="22"/>
        <v>18000</v>
      </c>
      <c r="I36" s="246">
        <v>13500</v>
      </c>
      <c r="J36" s="246">
        <v>0</v>
      </c>
      <c r="K36" s="246">
        <f t="shared" si="22"/>
        <v>7024</v>
      </c>
      <c r="L36" s="246">
        <f t="shared" si="22"/>
        <v>2715</v>
      </c>
      <c r="M36" s="246">
        <f t="shared" si="22"/>
        <v>6565</v>
      </c>
      <c r="N36" s="246">
        <f t="shared" si="22"/>
        <v>1792</v>
      </c>
      <c r="O36" s="246"/>
    </row>
    <row r="37" spans="1:15" x14ac:dyDescent="0.2">
      <c r="A37" s="799"/>
      <c r="B37" s="799" t="s">
        <v>74</v>
      </c>
      <c r="C37" s="247" t="s">
        <v>261</v>
      </c>
      <c r="D37" s="248">
        <f t="shared" ref="D37:N37" si="23">D41*D$26</f>
        <v>20.673184721679053</v>
      </c>
      <c r="E37" s="248">
        <f t="shared" si="23"/>
        <v>21.243866918589738</v>
      </c>
      <c r="F37" s="248">
        <f t="shared" si="23"/>
        <v>1.9930977671797092</v>
      </c>
      <c r="G37" s="248">
        <f t="shared" si="23"/>
        <v>15.174227318045864</v>
      </c>
      <c r="H37" s="248">
        <f t="shared" si="23"/>
        <v>0</v>
      </c>
      <c r="I37" s="248">
        <f>I44</f>
        <v>9.75</v>
      </c>
      <c r="J37" s="248">
        <f t="shared" si="23"/>
        <v>0</v>
      </c>
      <c r="K37" s="248">
        <f t="shared" si="23"/>
        <v>0</v>
      </c>
      <c r="L37" s="248">
        <f t="shared" si="23"/>
        <v>0.13957071702440249</v>
      </c>
      <c r="M37" s="248">
        <f t="shared" si="23"/>
        <v>0</v>
      </c>
      <c r="N37" s="248">
        <f t="shared" si="23"/>
        <v>0</v>
      </c>
      <c r="O37" s="248"/>
    </row>
    <row r="38" spans="1:15" x14ac:dyDescent="0.2">
      <c r="A38" s="799"/>
      <c r="B38" s="799"/>
      <c r="C38" s="247" t="s">
        <v>264</v>
      </c>
      <c r="D38" s="248">
        <f t="shared" ref="D38:N38" si="24">D41*D$27</f>
        <v>7.6235171424846833</v>
      </c>
      <c r="E38" s="248">
        <f t="shared" si="24"/>
        <v>19.671541242049379</v>
      </c>
      <c r="F38" s="248">
        <f t="shared" si="24"/>
        <v>1.7296423151961846</v>
      </c>
      <c r="G38" s="248">
        <f t="shared" si="24"/>
        <v>61.058200398803592</v>
      </c>
      <c r="H38" s="248">
        <f t="shared" si="24"/>
        <v>0</v>
      </c>
      <c r="I38" s="248">
        <f>I45</f>
        <v>146.25</v>
      </c>
      <c r="J38" s="248">
        <f t="shared" si="24"/>
        <v>0</v>
      </c>
      <c r="K38" s="248">
        <f t="shared" si="24"/>
        <v>1.7055209121507033</v>
      </c>
      <c r="L38" s="248">
        <f t="shared" si="24"/>
        <v>9.1837531802056827</v>
      </c>
      <c r="M38" s="248">
        <f t="shared" si="24"/>
        <v>8.8648528099910806E-2</v>
      </c>
      <c r="N38" s="248">
        <f t="shared" si="24"/>
        <v>1.5103244837758112</v>
      </c>
      <c r="O38" s="248"/>
    </row>
    <row r="39" spans="1:15" x14ac:dyDescent="0.2">
      <c r="A39" s="799"/>
      <c r="B39" s="799"/>
      <c r="C39" s="247" t="s">
        <v>313</v>
      </c>
      <c r="D39" s="248">
        <f t="shared" ref="D39:N39" si="25">D41*D$28</f>
        <v>620.33007430582711</v>
      </c>
      <c r="E39" s="248">
        <f t="shared" si="25"/>
        <v>150.45409695961746</v>
      </c>
      <c r="F39" s="248">
        <f t="shared" si="25"/>
        <v>46.173431606329942</v>
      </c>
      <c r="G39" s="248">
        <f t="shared" si="25"/>
        <v>306.37487537387835</v>
      </c>
      <c r="H39" s="248">
        <f t="shared" si="25"/>
        <v>0</v>
      </c>
      <c r="I39" s="248">
        <f>I46</f>
        <v>819</v>
      </c>
      <c r="J39" s="248">
        <v>0</v>
      </c>
      <c r="K39" s="248">
        <f t="shared" si="25"/>
        <v>2.0156156234508313</v>
      </c>
      <c r="L39" s="248">
        <f t="shared" si="25"/>
        <v>60.350378041351632</v>
      </c>
      <c r="M39" s="248">
        <f t="shared" si="25"/>
        <v>0.17729705619982161</v>
      </c>
      <c r="N39" s="248">
        <f t="shared" si="25"/>
        <v>0</v>
      </c>
      <c r="O39" s="248"/>
    </row>
    <row r="40" spans="1:15" x14ac:dyDescent="0.2">
      <c r="A40" s="799"/>
      <c r="B40" s="799"/>
      <c r="C40" s="247" t="s">
        <v>314</v>
      </c>
      <c r="D40" s="248">
        <f t="shared" ref="D40:N40" si="26">D41*D$29</f>
        <v>648.62677616999088</v>
      </c>
      <c r="E40" s="248">
        <f t="shared" si="26"/>
        <v>191.36950512025663</v>
      </c>
      <c r="F40" s="248">
        <f t="shared" si="26"/>
        <v>49.896171688705834</v>
      </c>
      <c r="G40" s="248">
        <f t="shared" si="26"/>
        <v>382.6073030907279</v>
      </c>
      <c r="H40" s="248">
        <f t="shared" si="26"/>
        <v>0</v>
      </c>
      <c r="I40" s="248">
        <f>I37+I38+I39</f>
        <v>975</v>
      </c>
      <c r="J40" s="248">
        <v>0</v>
      </c>
      <c r="K40" s="248">
        <f t="shared" si="26"/>
        <v>3.7211365356015342</v>
      </c>
      <c r="L40" s="248">
        <f t="shared" si="26"/>
        <v>69.673701938581729</v>
      </c>
      <c r="M40" s="248">
        <f t="shared" si="26"/>
        <v>0.26594558429973236</v>
      </c>
      <c r="N40" s="248">
        <f t="shared" si="26"/>
        <v>1.5103244837758112</v>
      </c>
      <c r="O40" s="248"/>
    </row>
    <row r="41" spans="1:15" x14ac:dyDescent="0.2">
      <c r="A41" s="799"/>
      <c r="B41" s="799"/>
      <c r="C41" t="s">
        <v>320</v>
      </c>
      <c r="D41" s="200">
        <v>10320</v>
      </c>
      <c r="E41" s="200">
        <v>39371</v>
      </c>
      <c r="F41" s="200">
        <v>1321</v>
      </c>
      <c r="G41" s="200">
        <v>11596</v>
      </c>
      <c r="H41" s="200">
        <v>0</v>
      </c>
      <c r="I41" s="200">
        <v>22000</v>
      </c>
      <c r="J41" s="248">
        <v>0</v>
      </c>
      <c r="K41" s="236">
        <v>2377</v>
      </c>
      <c r="L41" s="236">
        <v>779</v>
      </c>
      <c r="M41" s="236">
        <v>2120</v>
      </c>
      <c r="N41" s="236">
        <v>1792</v>
      </c>
      <c r="O41" s="236"/>
    </row>
    <row r="42" spans="1:15" x14ac:dyDescent="0.2">
      <c r="A42" s="799"/>
      <c r="B42" s="799"/>
      <c r="C42" s="249" t="s">
        <v>321</v>
      </c>
      <c r="D42" s="250">
        <f>(D37*$A$3)+(D38*$A$4)+(D39*$A$5)</f>
        <v>10.854821118498242</v>
      </c>
      <c r="E42" s="250">
        <f>(E37*$A$3)+(E38*$A$4)+(E39*$A$5)</f>
        <v>9.9816405151229262</v>
      </c>
      <c r="F42" s="250">
        <f>(F37*$A$3)+(F38*$A$4)+(F39*$A$5)</f>
        <v>1.0407429629308473</v>
      </c>
      <c r="G42" s="250">
        <f>(G37*$A$3)+(G38*$A$4)+(G39*$A$5)</f>
        <v>9.7239338983050843</v>
      </c>
      <c r="H42" s="250">
        <f>H40</f>
        <v>0</v>
      </c>
      <c r="I42" s="250">
        <f>((I37*$A$3)+(I38*$A$4)+(I39*$A$5))/2</f>
        <v>6.3647999999999998</v>
      </c>
      <c r="J42" s="251">
        <f>((J37*$A$3)+(J38*$A$4)+(J39*$A$5))</f>
        <v>0</v>
      </c>
      <c r="K42" s="250">
        <f>(K37*$A$3)+(K38*$A$4)+(K39*$A$5)</f>
        <v>7.6438346335481508E-2</v>
      </c>
      <c r="L42" s="250">
        <f>(L37*$A$3)+(L38*$A$4)+(L39*$A$5)</f>
        <v>0.63683326763894355</v>
      </c>
      <c r="M42" s="250">
        <f>M40</f>
        <v>0.26594558429973236</v>
      </c>
      <c r="N42" s="250">
        <f>(N37*$A$3)+(N38*$A$4)+(N39*$A$5)</f>
        <v>6.1621238938053088E-2</v>
      </c>
      <c r="O42" s="250"/>
    </row>
    <row r="43" spans="1:15" x14ac:dyDescent="0.2">
      <c r="A43" s="799"/>
      <c r="B43" s="800"/>
      <c r="C43" s="252" t="s">
        <v>322</v>
      </c>
      <c r="D43" s="253">
        <f t="shared" ref="D43:J43" si="27">D42*$D$3</f>
        <v>0.31587529454829882</v>
      </c>
      <c r="E43" s="253">
        <f t="shared" si="27"/>
        <v>0.29046573899007716</v>
      </c>
      <c r="F43" s="253">
        <f t="shared" si="27"/>
        <v>3.0285620221287658E-2</v>
      </c>
      <c r="G43" s="253">
        <f t="shared" si="27"/>
        <v>0.28296647644067796</v>
      </c>
      <c r="H43" s="253">
        <f t="shared" si="27"/>
        <v>0</v>
      </c>
      <c r="I43" s="253">
        <f t="shared" si="27"/>
        <v>0.18521567999999999</v>
      </c>
      <c r="J43" s="254">
        <f t="shared" si="27"/>
        <v>0</v>
      </c>
      <c r="K43" s="253">
        <f>K42*$G$6</f>
        <v>7.0629032013984913E-3</v>
      </c>
      <c r="L43" s="253">
        <f>L42*$G$6</f>
        <v>5.8843393929838381E-2</v>
      </c>
      <c r="M43" s="253">
        <f>M42*$G$6</f>
        <v>2.4573371989295271E-2</v>
      </c>
      <c r="N43" s="253">
        <f>N42*$G$6</f>
        <v>5.6938024778761054E-3</v>
      </c>
      <c r="O43" s="253"/>
    </row>
    <row r="44" spans="1:15" x14ac:dyDescent="0.2">
      <c r="A44" s="799"/>
      <c r="B44" s="799" t="s">
        <v>76</v>
      </c>
      <c r="C44" s="247" t="s">
        <v>261</v>
      </c>
      <c r="D44" s="248">
        <f t="shared" ref="D44:N44" si="28">D48*D$26</f>
        <v>12.159518533003087</v>
      </c>
      <c r="E44" s="248">
        <f t="shared" si="28"/>
        <v>25.225979078788672</v>
      </c>
      <c r="F44" s="248">
        <f t="shared" si="28"/>
        <v>1.0244613050075873</v>
      </c>
      <c r="G44" s="248">
        <f t="shared" si="28"/>
        <v>0</v>
      </c>
      <c r="H44" s="248">
        <f t="shared" si="28"/>
        <v>0</v>
      </c>
      <c r="I44" s="248">
        <f>I51</f>
        <v>9.75</v>
      </c>
      <c r="J44" s="248">
        <f t="shared" si="28"/>
        <v>0</v>
      </c>
      <c r="K44" s="248">
        <f t="shared" si="28"/>
        <v>0</v>
      </c>
      <c r="L44" s="248">
        <f t="shared" si="28"/>
        <v>0.34686637761135203</v>
      </c>
      <c r="M44" s="248">
        <f t="shared" si="28"/>
        <v>0</v>
      </c>
      <c r="N44" s="248">
        <f t="shared" si="28"/>
        <v>0</v>
      </c>
      <c r="O44" s="248"/>
    </row>
    <row r="45" spans="1:15" x14ac:dyDescent="0.2">
      <c r="A45" s="799"/>
      <c r="B45" s="799"/>
      <c r="C45" s="247" t="s">
        <v>264</v>
      </c>
      <c r="D45" s="248">
        <f t="shared" ref="D45:N45" si="29">D48*D$27</f>
        <v>4.4839873115195763</v>
      </c>
      <c r="E45" s="248">
        <f t="shared" si="29"/>
        <v>23.358924706180957</v>
      </c>
      <c r="F45" s="248">
        <f t="shared" si="29"/>
        <v>0.88904400606980261</v>
      </c>
      <c r="G45" s="248">
        <f t="shared" si="29"/>
        <v>0</v>
      </c>
      <c r="H45" s="248">
        <f t="shared" si="29"/>
        <v>2.752924982794219</v>
      </c>
      <c r="I45" s="248">
        <f>I52</f>
        <v>146.25</v>
      </c>
      <c r="J45" s="248">
        <f t="shared" si="29"/>
        <v>0</v>
      </c>
      <c r="K45" s="248">
        <f t="shared" si="29"/>
        <v>3.3342682704098943</v>
      </c>
      <c r="L45" s="248">
        <f t="shared" si="29"/>
        <v>22.82380764682696</v>
      </c>
      <c r="M45" s="248">
        <f t="shared" si="29"/>
        <v>0.18586920160570922</v>
      </c>
      <c r="N45" s="248">
        <f t="shared" si="29"/>
        <v>0</v>
      </c>
      <c r="O45" s="248"/>
    </row>
    <row r="46" spans="1:15" x14ac:dyDescent="0.2">
      <c r="A46" s="799"/>
      <c r="B46" s="799"/>
      <c r="C46" s="247" t="s">
        <v>313</v>
      </c>
      <c r="D46" s="248">
        <f t="shared" ref="D46:N46" si="30">D48*D$28</f>
        <v>364.86468517794287</v>
      </c>
      <c r="E46" s="248">
        <f t="shared" si="30"/>
        <v>178.65635840997376</v>
      </c>
      <c r="F46" s="248">
        <f t="shared" si="30"/>
        <v>23.733353566009107</v>
      </c>
      <c r="G46" s="248">
        <f t="shared" si="30"/>
        <v>0</v>
      </c>
      <c r="H46" s="248">
        <f t="shared" si="30"/>
        <v>0</v>
      </c>
      <c r="I46" s="248">
        <f>I53</f>
        <v>819</v>
      </c>
      <c r="J46" s="248">
        <v>0</v>
      </c>
      <c r="K46" s="248">
        <f t="shared" si="30"/>
        <v>3.9404988650298751</v>
      </c>
      <c r="L46" s="248">
        <f t="shared" si="30"/>
        <v>149.98502167914859</v>
      </c>
      <c r="M46" s="248">
        <f t="shared" si="30"/>
        <v>0.37173840321141843</v>
      </c>
      <c r="N46" s="248">
        <f t="shared" si="30"/>
        <v>0</v>
      </c>
      <c r="O46" s="248"/>
    </row>
    <row r="47" spans="1:15" x14ac:dyDescent="0.2">
      <c r="A47" s="799"/>
      <c r="B47" s="799"/>
      <c r="C47" s="247" t="s">
        <v>314</v>
      </c>
      <c r="D47" s="248">
        <f t="shared" ref="D47:N47" si="31">D48*D$29</f>
        <v>381.50819102246561</v>
      </c>
      <c r="E47" s="248">
        <f t="shared" si="31"/>
        <v>227.2412621949434</v>
      </c>
      <c r="F47" s="248">
        <f t="shared" si="31"/>
        <v>25.646858877086494</v>
      </c>
      <c r="G47" s="248">
        <f t="shared" si="31"/>
        <v>0</v>
      </c>
      <c r="H47" s="248">
        <f t="shared" si="31"/>
        <v>2.752924982794219</v>
      </c>
      <c r="I47" s="248">
        <f>I44+I45+I46</f>
        <v>975</v>
      </c>
      <c r="J47" s="248">
        <v>0</v>
      </c>
      <c r="K47" s="248">
        <f t="shared" si="31"/>
        <v>7.2747671354397685</v>
      </c>
      <c r="L47" s="248">
        <f t="shared" si="31"/>
        <v>173.15569570358693</v>
      </c>
      <c r="M47" s="248">
        <f t="shared" si="31"/>
        <v>0.55760760481712757</v>
      </c>
      <c r="N47" s="248">
        <f t="shared" si="31"/>
        <v>0</v>
      </c>
      <c r="O47" s="248"/>
    </row>
    <row r="48" spans="1:15" x14ac:dyDescent="0.2">
      <c r="A48" s="799"/>
      <c r="B48" s="799"/>
      <c r="C48" t="s">
        <v>320</v>
      </c>
      <c r="D48" s="200">
        <v>6070</v>
      </c>
      <c r="E48" s="200">
        <v>46751</v>
      </c>
      <c r="F48" s="200">
        <v>679</v>
      </c>
      <c r="G48" s="200">
        <v>0</v>
      </c>
      <c r="H48" s="200">
        <v>18000</v>
      </c>
      <c r="I48" s="200">
        <v>0</v>
      </c>
      <c r="J48" s="248">
        <v>0</v>
      </c>
      <c r="K48" s="236">
        <v>4647</v>
      </c>
      <c r="L48" s="236">
        <v>1936</v>
      </c>
      <c r="M48" s="236">
        <v>4445</v>
      </c>
      <c r="N48" s="236">
        <v>0</v>
      </c>
      <c r="O48" s="236"/>
    </row>
    <row r="49" spans="1:15" x14ac:dyDescent="0.2">
      <c r="A49" s="799"/>
      <c r="B49" s="799"/>
      <c r="C49" s="249" t="s">
        <v>321</v>
      </c>
      <c r="D49" s="250">
        <f>(D44*$A$3)+(D45*$A$4)+(D46*$A$5)</f>
        <v>6.384570173380264</v>
      </c>
      <c r="E49" s="250">
        <f>(E44*$A$3)+(E45*$A$4)+(E46*$A$5)</f>
        <v>11.852675210751871</v>
      </c>
      <c r="F49" s="250">
        <f>(F44*$A$3)+(F45*$A$4)+(F46*$A$5)</f>
        <v>0.53494661001517452</v>
      </c>
      <c r="G49" s="250">
        <f>(G44*$A$3)+(G45*$A$4)+(G46*$A$5)</f>
        <v>0</v>
      </c>
      <c r="H49" s="250">
        <f>H47</f>
        <v>2.752924982794219</v>
      </c>
      <c r="I49" s="250">
        <f>((I44*$A$3)+(I45*$A$4)+(I46*$A$5))/$I$16</f>
        <v>2.5459199999999997</v>
      </c>
      <c r="J49" s="251">
        <f>((J44*$A$3)+(J45*$A$4)+(J46*$A$5))</f>
        <v>0</v>
      </c>
      <c r="K49" s="250">
        <f>(K44*$A$3)+(K45*$A$4)+(K46*$A$5)</f>
        <v>0.14943584157382522</v>
      </c>
      <c r="L49" s="250">
        <f>(L44*$A$3)+(L45*$A$4)+(L46*$A$5)</f>
        <v>1.5826819077650764</v>
      </c>
      <c r="M49" s="250">
        <f>M47</f>
        <v>0.55760760481712757</v>
      </c>
      <c r="N49" s="250">
        <f>(N44*$A$3)+(N45*$A$4)+(N46*$A$5)</f>
        <v>0</v>
      </c>
      <c r="O49" s="250"/>
    </row>
    <row r="50" spans="1:15" x14ac:dyDescent="0.2">
      <c r="A50" s="799"/>
      <c r="B50" s="800"/>
      <c r="C50" s="252" t="s">
        <v>322</v>
      </c>
      <c r="D50" s="253">
        <f t="shared" ref="D50:J50" si="32">D49*$D$4</f>
        <v>0.16280653942119672</v>
      </c>
      <c r="E50" s="253">
        <f t="shared" si="32"/>
        <v>0.30224321787417269</v>
      </c>
      <c r="F50" s="253">
        <f t="shared" si="32"/>
        <v>1.3641138555386949E-2</v>
      </c>
      <c r="G50" s="253">
        <f t="shared" si="32"/>
        <v>0</v>
      </c>
      <c r="H50" s="253">
        <f t="shared" si="32"/>
        <v>7.019958706125258E-2</v>
      </c>
      <c r="I50" s="253">
        <f>I49*$D$4</f>
        <v>6.4920959999999986E-2</v>
      </c>
      <c r="J50" s="255">
        <f t="shared" si="32"/>
        <v>0</v>
      </c>
      <c r="K50" s="253">
        <f>K49*$G$6</f>
        <v>1.380787176142145E-2</v>
      </c>
      <c r="L50" s="253">
        <f>L49*$G$6</f>
        <v>0.14623980827749306</v>
      </c>
      <c r="M50" s="253">
        <f>M49*$G$6</f>
        <v>5.1522942685102588E-2</v>
      </c>
      <c r="N50" s="253">
        <f>N49*$G$6</f>
        <v>0</v>
      </c>
      <c r="O50" s="253"/>
    </row>
    <row r="51" spans="1:15" x14ac:dyDescent="0.2">
      <c r="A51" s="799"/>
      <c r="B51" s="801" t="s">
        <v>114</v>
      </c>
      <c r="C51" s="247" t="s">
        <v>261</v>
      </c>
      <c r="D51" s="248">
        <f t="shared" ref="D51:N51" si="33">D55*D$26</f>
        <v>63.057219832268729</v>
      </c>
      <c r="E51" s="248">
        <f t="shared" si="33"/>
        <v>74.648415555924345</v>
      </c>
      <c r="F51" s="248">
        <f t="shared" si="33"/>
        <v>30.439627140689353</v>
      </c>
      <c r="G51" s="248">
        <f t="shared" si="33"/>
        <v>6.0194416749750748E-2</v>
      </c>
      <c r="H51" s="248">
        <f t="shared" si="33"/>
        <v>0</v>
      </c>
      <c r="I51" s="248">
        <f>I59</f>
        <v>9.75</v>
      </c>
      <c r="J51" s="248">
        <f t="shared" si="33"/>
        <v>0</v>
      </c>
      <c r="K51" s="248">
        <f t="shared" si="33"/>
        <v>0</v>
      </c>
      <c r="L51" s="248">
        <f t="shared" si="33"/>
        <v>0.66309528075393276</v>
      </c>
      <c r="M51" s="248">
        <f t="shared" si="33"/>
        <v>0</v>
      </c>
      <c r="N51" s="248">
        <f t="shared" si="33"/>
        <v>0</v>
      </c>
      <c r="O51" s="248"/>
    </row>
    <row r="52" spans="1:15" x14ac:dyDescent="0.2">
      <c r="A52" s="799"/>
      <c r="B52" s="799"/>
      <c r="C52" s="247" t="s">
        <v>264</v>
      </c>
      <c r="D52" s="248">
        <f t="shared" ref="D52:N52" si="34">D55*D$27</f>
        <v>23.253204710381091</v>
      </c>
      <c r="E52" s="248">
        <f t="shared" si="34"/>
        <v>69.123450588791783</v>
      </c>
      <c r="F52" s="248">
        <f t="shared" si="34"/>
        <v>26.415998265770646</v>
      </c>
      <c r="G52" s="248">
        <f t="shared" si="34"/>
        <v>0.24221086739780659</v>
      </c>
      <c r="H52" s="248">
        <f t="shared" si="34"/>
        <v>0</v>
      </c>
      <c r="I52" s="248">
        <f>I60</f>
        <v>146.25</v>
      </c>
      <c r="J52" s="248">
        <f t="shared" si="34"/>
        <v>0</v>
      </c>
      <c r="K52" s="248">
        <f t="shared" si="34"/>
        <v>5.650390064445431</v>
      </c>
      <c r="L52" s="248">
        <f t="shared" si="34"/>
        <v>43.631669473608774</v>
      </c>
      <c r="M52" s="248">
        <f t="shared" si="34"/>
        <v>0.30742640499553975</v>
      </c>
      <c r="N52" s="248">
        <f t="shared" si="34"/>
        <v>0</v>
      </c>
      <c r="O52" s="248"/>
    </row>
    <row r="53" spans="1:15" x14ac:dyDescent="0.2">
      <c r="A53" s="799"/>
      <c r="B53" s="799"/>
      <c r="C53" s="247" t="s">
        <v>313</v>
      </c>
      <c r="D53" s="248">
        <f t="shared" ref="D53:N53" si="35">D55*D$28</f>
        <v>1892.1269456394211</v>
      </c>
      <c r="E53" s="248">
        <f t="shared" si="35"/>
        <v>528.67775885495109</v>
      </c>
      <c r="F53" s="248">
        <f t="shared" si="35"/>
        <v>705.18469542597006</v>
      </c>
      <c r="G53" s="248">
        <f t="shared" si="35"/>
        <v>1.2153539381854437</v>
      </c>
      <c r="H53" s="248">
        <f t="shared" si="35"/>
        <v>0</v>
      </c>
      <c r="I53" s="248">
        <f>I61</f>
        <v>819</v>
      </c>
      <c r="J53" s="248">
        <v>0</v>
      </c>
      <c r="K53" s="248">
        <f t="shared" si="35"/>
        <v>6.6777337125264182</v>
      </c>
      <c r="L53" s="248">
        <f t="shared" si="35"/>
        <v>286.7223993980005</v>
      </c>
      <c r="M53" s="248">
        <f t="shared" si="35"/>
        <v>0.6148528099910795</v>
      </c>
      <c r="N53" s="248">
        <f t="shared" si="35"/>
        <v>0</v>
      </c>
      <c r="O53" s="248"/>
    </row>
    <row r="54" spans="1:15" x14ac:dyDescent="0.2">
      <c r="A54" s="799"/>
      <c r="B54" s="799"/>
      <c r="C54" s="247" t="s">
        <v>314</v>
      </c>
      <c r="D54" s="248">
        <f t="shared" ref="D54:N54" si="36">D55*D$29</f>
        <v>1978.4373701820712</v>
      </c>
      <c r="E54" s="248">
        <f t="shared" si="36"/>
        <v>672.44962499966732</v>
      </c>
      <c r="F54" s="248">
        <f t="shared" si="36"/>
        <v>762.0403208324301</v>
      </c>
      <c r="G54" s="248">
        <f t="shared" si="36"/>
        <v>1.5177592223330012</v>
      </c>
      <c r="H54" s="248">
        <f t="shared" si="36"/>
        <v>0</v>
      </c>
      <c r="I54" s="248">
        <f>I51+I52+I53</f>
        <v>975</v>
      </c>
      <c r="J54" s="248">
        <v>0</v>
      </c>
      <c r="K54" s="248">
        <f t="shared" si="36"/>
        <v>12.328123776971848</v>
      </c>
      <c r="L54" s="248">
        <f t="shared" si="36"/>
        <v>331.01716415236325</v>
      </c>
      <c r="M54" s="248">
        <f t="shared" si="36"/>
        <v>0.92227921498661902</v>
      </c>
      <c r="N54" s="248">
        <f t="shared" si="36"/>
        <v>0</v>
      </c>
      <c r="O54" s="248"/>
    </row>
    <row r="55" spans="1:15" x14ac:dyDescent="0.2">
      <c r="A55" s="799"/>
      <c r="B55" s="799"/>
      <c r="C55" t="s">
        <v>320</v>
      </c>
      <c r="D55" s="200">
        <v>31478</v>
      </c>
      <c r="E55" s="200">
        <v>138345</v>
      </c>
      <c r="F55" s="200">
        <v>20175</v>
      </c>
      <c r="G55" s="200">
        <v>46</v>
      </c>
      <c r="H55" s="200">
        <v>0</v>
      </c>
      <c r="I55" s="200">
        <v>0</v>
      </c>
      <c r="J55" s="248">
        <v>0</v>
      </c>
      <c r="K55" s="236">
        <v>7875</v>
      </c>
      <c r="L55" s="236">
        <v>3701</v>
      </c>
      <c r="M55" s="236">
        <v>7352</v>
      </c>
      <c r="N55" s="236">
        <v>0</v>
      </c>
      <c r="O55" s="236"/>
    </row>
    <row r="56" spans="1:15" x14ac:dyDescent="0.2">
      <c r="A56" s="799"/>
      <c r="B56" s="799"/>
      <c r="C56" s="249" t="s">
        <v>321</v>
      </c>
      <c r="D56" s="250">
        <f>(D51*$A$3)+(D52*$A$4)+(D53*$A$5)</f>
        <v>33.109308058923219</v>
      </c>
      <c r="E56" s="250">
        <f>(E51*$A$3)+(E52*$A$4)+(E53*$A$5)</f>
        <v>35.074294710946674</v>
      </c>
      <c r="F56" s="250">
        <f>(F51*$A$3)+(F52*$A$4)+(F53*$A$5)</f>
        <v>15.894768567092996</v>
      </c>
      <c r="G56" s="250">
        <f>(G51*$A$3)+(G52*$A$4)+(G53*$A$5)</f>
        <v>3.8573728813559319E-2</v>
      </c>
      <c r="H56" s="250">
        <f>H54</f>
        <v>0</v>
      </c>
      <c r="I56" s="250">
        <f>((I51*$A$3)+(I52*$A$4)+(I53*$A$5))/$I$16</f>
        <v>2.5459199999999997</v>
      </c>
      <c r="J56" s="251">
        <f>((J51*$A$3)+(J52*$A$4)+(J53*$A$5))</f>
        <v>0</v>
      </c>
      <c r="K56" s="250">
        <f>(K51*$A$3)+(K52*$A$4)+(K53*$A$5)</f>
        <v>0.25324020925196339</v>
      </c>
      <c r="L56" s="250">
        <f>(L51*$A$3)+(L52*$A$4)+(L53*$A$5)</f>
        <v>3.0255711470240438</v>
      </c>
      <c r="M56" s="250">
        <f>M54</f>
        <v>0.92227921498661902</v>
      </c>
      <c r="N56" s="250">
        <f>(N51*$A$3)+(N52*$A$4)+(N53*$A$5)</f>
        <v>0</v>
      </c>
      <c r="O56" s="250"/>
    </row>
    <row r="57" spans="1:15" x14ac:dyDescent="0.2">
      <c r="A57" s="800"/>
      <c r="B57" s="800"/>
      <c r="C57" s="252" t="s">
        <v>322</v>
      </c>
      <c r="D57" s="253">
        <f t="shared" ref="D57:J57" si="37">D56*$D$5</f>
        <v>0.37744611187172472</v>
      </c>
      <c r="E57" s="253">
        <f t="shared" si="37"/>
        <v>0.39984695970479212</v>
      </c>
      <c r="F57" s="253">
        <f t="shared" si="37"/>
        <v>0.18120036166486017</v>
      </c>
      <c r="G57" s="253">
        <f t="shared" si="37"/>
        <v>4.3974050847457623E-4</v>
      </c>
      <c r="H57" s="253">
        <f t="shared" si="37"/>
        <v>0</v>
      </c>
      <c r="I57" s="253">
        <f t="shared" si="37"/>
        <v>2.9023487999999997E-2</v>
      </c>
      <c r="J57" s="254">
        <f t="shared" si="37"/>
        <v>0</v>
      </c>
      <c r="K57" s="253">
        <f>K56*$G$5</f>
        <v>7.0400778172045814E-3</v>
      </c>
      <c r="L57" s="253">
        <f>L56*$G$5</f>
        <v>8.4110877887268412E-2</v>
      </c>
      <c r="M57" s="253">
        <f>M56*$G$5</f>
        <v>2.5639362176628006E-2</v>
      </c>
      <c r="N57" s="253">
        <f>N56*$G$5</f>
        <v>0</v>
      </c>
      <c r="O57" s="253"/>
    </row>
    <row r="58" spans="1:15" x14ac:dyDescent="0.2">
      <c r="A58" s="801">
        <v>2023</v>
      </c>
      <c r="B58" s="244" t="s">
        <v>120</v>
      </c>
      <c r="C58" s="245" t="s">
        <v>319</v>
      </c>
      <c r="D58" s="246">
        <f t="shared" ref="D58:N58" si="38">D63+D70</f>
        <v>11816</v>
      </c>
      <c r="E58" s="246">
        <f t="shared" si="38"/>
        <v>86122</v>
      </c>
      <c r="F58" s="246">
        <f t="shared" si="38"/>
        <v>63</v>
      </c>
      <c r="G58" s="246">
        <f t="shared" si="38"/>
        <v>11864</v>
      </c>
      <c r="H58" s="246">
        <f t="shared" si="38"/>
        <v>18000</v>
      </c>
      <c r="I58" s="246">
        <f t="shared" si="38"/>
        <v>28500</v>
      </c>
      <c r="J58" s="246">
        <v>0</v>
      </c>
      <c r="K58" s="246">
        <f t="shared" si="38"/>
        <v>7024</v>
      </c>
      <c r="L58" s="246">
        <f t="shared" si="38"/>
        <v>2715</v>
      </c>
      <c r="M58" s="246">
        <f t="shared" si="38"/>
        <v>6565</v>
      </c>
      <c r="N58" s="246">
        <f t="shared" si="38"/>
        <v>1792</v>
      </c>
      <c r="O58" s="246"/>
    </row>
    <row r="59" spans="1:15" x14ac:dyDescent="0.2">
      <c r="A59" s="799"/>
      <c r="B59" s="801" t="s">
        <v>74</v>
      </c>
      <c r="C59" s="256" t="s">
        <v>261</v>
      </c>
      <c r="D59" s="257">
        <f t="shared" ref="D59:N59" si="39">D63*D$26</f>
        <v>14.903923869117458</v>
      </c>
      <c r="E59" s="257">
        <f t="shared" si="39"/>
        <v>21.243866918589738</v>
      </c>
      <c r="F59" s="257">
        <f t="shared" si="39"/>
        <v>6.336874051593322E-2</v>
      </c>
      <c r="G59" s="257">
        <f t="shared" si="39"/>
        <v>15.524925224327021</v>
      </c>
      <c r="H59" s="257">
        <f t="shared" si="39"/>
        <v>0</v>
      </c>
      <c r="I59" s="257">
        <f>I63*0.15*0.01</f>
        <v>9.75</v>
      </c>
      <c r="J59" s="257">
        <f t="shared" si="39"/>
        <v>0</v>
      </c>
      <c r="K59" s="257">
        <f t="shared" si="39"/>
        <v>0</v>
      </c>
      <c r="L59" s="257">
        <f t="shared" si="39"/>
        <v>0.13957071702440249</v>
      </c>
      <c r="M59" s="257">
        <f t="shared" si="39"/>
        <v>0</v>
      </c>
      <c r="N59" s="257">
        <f t="shared" si="39"/>
        <v>0</v>
      </c>
      <c r="O59" s="257"/>
    </row>
    <row r="60" spans="1:15" x14ac:dyDescent="0.2">
      <c r="A60" s="799"/>
      <c r="B60" s="799"/>
      <c r="C60" s="247" t="s">
        <v>264</v>
      </c>
      <c r="D60" s="248">
        <f t="shared" ref="D60:N60" si="40">D63*D$27</f>
        <v>5.4960239864424461</v>
      </c>
      <c r="E60" s="248">
        <f t="shared" si="40"/>
        <v>19.671541242049379</v>
      </c>
      <c r="F60" s="248">
        <f t="shared" si="40"/>
        <v>5.4992412746585728E-2</v>
      </c>
      <c r="G60" s="248">
        <f t="shared" si="40"/>
        <v>62.469341974077764</v>
      </c>
      <c r="H60" s="248">
        <f t="shared" si="40"/>
        <v>0</v>
      </c>
      <c r="I60" s="248">
        <f>I63*0.15*0.15</f>
        <v>146.25</v>
      </c>
      <c r="J60" s="248">
        <f t="shared" si="40"/>
        <v>0</v>
      </c>
      <c r="K60" s="248">
        <f t="shared" si="40"/>
        <v>1.7055209121507033</v>
      </c>
      <c r="L60" s="248">
        <f t="shared" si="40"/>
        <v>9.1837531802056827</v>
      </c>
      <c r="M60" s="248">
        <f t="shared" si="40"/>
        <v>8.8648528099910806E-2</v>
      </c>
      <c r="N60" s="248">
        <f t="shared" si="40"/>
        <v>1.5103244837758112</v>
      </c>
      <c r="O60" s="248"/>
    </row>
    <row r="61" spans="1:15" x14ac:dyDescent="0.2">
      <c r="A61" s="799"/>
      <c r="B61" s="799"/>
      <c r="C61" s="247" t="s">
        <v>313</v>
      </c>
      <c r="D61" s="248">
        <f t="shared" ref="D61:N61" si="41">D63*D$28</f>
        <v>447.21470473210792</v>
      </c>
      <c r="E61" s="248">
        <f t="shared" si="41"/>
        <v>150.45409695961746</v>
      </c>
      <c r="F61" s="248">
        <f t="shared" si="41"/>
        <v>1.4680424886191199</v>
      </c>
      <c r="G61" s="248">
        <f t="shared" si="41"/>
        <v>313.45563310069792</v>
      </c>
      <c r="H61" s="248">
        <f t="shared" si="41"/>
        <v>0</v>
      </c>
      <c r="I61" s="248">
        <f>I63*0.15*0.84</f>
        <v>819</v>
      </c>
      <c r="J61" s="248">
        <f t="shared" si="41"/>
        <v>5</v>
      </c>
      <c r="K61" s="248">
        <f t="shared" si="41"/>
        <v>2.0156156234508313</v>
      </c>
      <c r="L61" s="248">
        <f t="shared" si="41"/>
        <v>60.350378041351632</v>
      </c>
      <c r="M61" s="248">
        <f t="shared" si="41"/>
        <v>0.17729705619982161</v>
      </c>
      <c r="N61" s="248">
        <f t="shared" si="41"/>
        <v>0</v>
      </c>
      <c r="O61" s="248"/>
    </row>
    <row r="62" spans="1:15" x14ac:dyDescent="0.2">
      <c r="A62" s="799"/>
      <c r="B62" s="799"/>
      <c r="C62" s="247" t="s">
        <v>314</v>
      </c>
      <c r="D62" s="248">
        <f t="shared" ref="D62:N62" si="42">D63*D$29</f>
        <v>467.61465258766788</v>
      </c>
      <c r="E62" s="248">
        <f t="shared" si="42"/>
        <v>191.36950512025663</v>
      </c>
      <c r="F62" s="248">
        <f t="shared" si="42"/>
        <v>1.586403641881639</v>
      </c>
      <c r="G62" s="248">
        <f t="shared" si="42"/>
        <v>391.44990029910275</v>
      </c>
      <c r="H62" s="248">
        <f t="shared" si="42"/>
        <v>0</v>
      </c>
      <c r="I62" s="248">
        <f t="shared" si="42"/>
        <v>1974.7265464591032</v>
      </c>
      <c r="J62" s="248">
        <f t="shared" si="42"/>
        <v>5</v>
      </c>
      <c r="K62" s="248">
        <f t="shared" si="42"/>
        <v>3.7211365356015342</v>
      </c>
      <c r="L62" s="248">
        <f t="shared" si="42"/>
        <v>69.673701938581729</v>
      </c>
      <c r="M62" s="248">
        <f t="shared" si="42"/>
        <v>0.26594558429973236</v>
      </c>
      <c r="N62" s="248">
        <f t="shared" si="42"/>
        <v>1.5103244837758112</v>
      </c>
      <c r="O62" s="248"/>
    </row>
    <row r="63" spans="1:15" x14ac:dyDescent="0.2">
      <c r="A63" s="799"/>
      <c r="B63" s="799"/>
      <c r="C63" t="s">
        <v>320</v>
      </c>
      <c r="D63" s="200">
        <v>7440</v>
      </c>
      <c r="E63" s="200">
        <v>39371</v>
      </c>
      <c r="F63" s="200">
        <v>42</v>
      </c>
      <c r="G63" s="200">
        <v>11864</v>
      </c>
      <c r="H63" s="200">
        <v>0</v>
      </c>
      <c r="I63" s="200">
        <f>13000/2</f>
        <v>6500</v>
      </c>
      <c r="J63" s="248">
        <v>5</v>
      </c>
      <c r="K63" s="236">
        <v>2377</v>
      </c>
      <c r="L63" s="236">
        <v>779</v>
      </c>
      <c r="M63" s="236">
        <v>2120</v>
      </c>
      <c r="N63" s="236">
        <v>1792</v>
      </c>
      <c r="O63" s="236"/>
    </row>
    <row r="64" spans="1:15" x14ac:dyDescent="0.2">
      <c r="A64" s="799"/>
      <c r="B64" s="799"/>
      <c r="C64" s="249" t="s">
        <v>321</v>
      </c>
      <c r="D64" s="250">
        <f>(D59*$A$3)+(D60*$A$4)+(D61*$A$5)</f>
        <v>7.8255687133359402</v>
      </c>
      <c r="E64" s="250">
        <f>(E59*$A$3)+(E60*$A$4)+(E61*$A$5)</f>
        <v>9.9816405151229262</v>
      </c>
      <c r="F64" s="250">
        <f>(F59*$A$3)+(F60*$A$4)+(F61*$A$5)</f>
        <v>3.3089481031866458E-2</v>
      </c>
      <c r="G64" s="250">
        <f>(G59*$A$3)+(G60*$A$4)+(G61*$A$5)</f>
        <v>9.9486677966101702</v>
      </c>
      <c r="H64" s="250">
        <f>H62</f>
        <v>0</v>
      </c>
      <c r="I64" s="250">
        <f>((I59*$A$3)+(I60*$A$4)+(I61*$A$5))/2</f>
        <v>6.3647999999999998</v>
      </c>
      <c r="J64" s="251">
        <f>((J59*$A$3)+(J60*$A$4)+(J61*$A$5))</f>
        <v>1.6999999999999998E-2</v>
      </c>
      <c r="K64" s="250">
        <f>(K59*$A$3)+(K60*$A$4)+(K61*$A$5)</f>
        <v>7.6438346335481508E-2</v>
      </c>
      <c r="L64" s="250">
        <f>(L59*$A$3)+(L60*$A$4)+(L61*$A$5)</f>
        <v>0.63683326763894355</v>
      </c>
      <c r="M64" s="250">
        <f>M62</f>
        <v>0.26594558429973236</v>
      </c>
      <c r="N64" s="250">
        <f>(N59*$A$3)+(N60*$A$4)+(N61*$A$5)</f>
        <v>6.1621238938053088E-2</v>
      </c>
      <c r="O64" s="250"/>
    </row>
    <row r="65" spans="1:15" x14ac:dyDescent="0.2">
      <c r="A65" s="799"/>
      <c r="B65" s="800"/>
      <c r="C65" s="252" t="s">
        <v>322</v>
      </c>
      <c r="D65" s="253">
        <f t="shared" ref="D65:J65" si="43">D64*$D$3</f>
        <v>0.22772404955807588</v>
      </c>
      <c r="E65" s="253">
        <f t="shared" si="43"/>
        <v>0.29046573899007716</v>
      </c>
      <c r="F65" s="253">
        <f t="shared" si="43"/>
        <v>9.6290389802731395E-4</v>
      </c>
      <c r="G65" s="253">
        <f t="shared" si="43"/>
        <v>0.28950623288135596</v>
      </c>
      <c r="H65" s="253">
        <f t="shared" si="43"/>
        <v>0</v>
      </c>
      <c r="I65" s="253">
        <f t="shared" si="43"/>
        <v>0.18521567999999999</v>
      </c>
      <c r="J65" s="254">
        <f t="shared" si="43"/>
        <v>4.9469999999999994E-4</v>
      </c>
      <c r="K65" s="253">
        <f>K64*$G$6</f>
        <v>7.0629032013984913E-3</v>
      </c>
      <c r="L65" s="253">
        <f>L64*$G$6</f>
        <v>5.8843393929838381E-2</v>
      </c>
      <c r="M65" s="253">
        <f>M64*$G$6</f>
        <v>2.4573371989295271E-2</v>
      </c>
      <c r="N65" s="253">
        <f>N64*$G$6</f>
        <v>5.6938024778761054E-3</v>
      </c>
      <c r="O65" s="253"/>
    </row>
    <row r="66" spans="1:15" x14ac:dyDescent="0.2">
      <c r="A66" s="799"/>
      <c r="B66" s="799" t="s">
        <v>76</v>
      </c>
      <c r="C66" s="247" t="s">
        <v>261</v>
      </c>
      <c r="D66" s="248">
        <f t="shared" ref="D66:N66" si="44">D70*D$26</f>
        <v>8.7660713509755368</v>
      </c>
      <c r="E66" s="248">
        <f t="shared" si="44"/>
        <v>25.225979078788672</v>
      </c>
      <c r="F66" s="248">
        <f t="shared" si="44"/>
        <v>3.168437025796661E-2</v>
      </c>
      <c r="G66" s="248">
        <f t="shared" si="44"/>
        <v>0</v>
      </c>
      <c r="H66" s="248">
        <f t="shared" si="44"/>
        <v>0</v>
      </c>
      <c r="I66" s="248">
        <f>I59</f>
        <v>9.75</v>
      </c>
      <c r="J66" s="248">
        <f t="shared" si="44"/>
        <v>0</v>
      </c>
      <c r="K66" s="248">
        <f t="shared" si="44"/>
        <v>0</v>
      </c>
      <c r="L66" s="248">
        <f t="shared" si="44"/>
        <v>0.34686637761135203</v>
      </c>
      <c r="M66" s="248">
        <f t="shared" si="44"/>
        <v>0</v>
      </c>
      <c r="N66" s="248">
        <f t="shared" si="44"/>
        <v>0</v>
      </c>
      <c r="O66" s="248"/>
    </row>
    <row r="67" spans="1:15" x14ac:dyDescent="0.2">
      <c r="A67" s="799"/>
      <c r="B67" s="799"/>
      <c r="C67" s="247" t="s">
        <v>264</v>
      </c>
      <c r="D67" s="248">
        <f t="shared" ref="D67:N67" si="45">D70*D$27</f>
        <v>3.2326076565419548</v>
      </c>
      <c r="E67" s="248">
        <f t="shared" si="45"/>
        <v>23.358924706180957</v>
      </c>
      <c r="F67" s="248">
        <f t="shared" si="45"/>
        <v>2.7496206373292864E-2</v>
      </c>
      <c r="G67" s="248">
        <f t="shared" si="45"/>
        <v>0</v>
      </c>
      <c r="H67" s="248">
        <f t="shared" si="45"/>
        <v>2.752924982794219</v>
      </c>
      <c r="I67" s="248">
        <f>I60</f>
        <v>146.25</v>
      </c>
      <c r="J67" s="248">
        <f t="shared" si="45"/>
        <v>0</v>
      </c>
      <c r="K67" s="248">
        <f t="shared" si="45"/>
        <v>3.3342682704098943</v>
      </c>
      <c r="L67" s="248">
        <f t="shared" si="45"/>
        <v>22.82380764682696</v>
      </c>
      <c r="M67" s="248">
        <f t="shared" si="45"/>
        <v>0.18586920160570922</v>
      </c>
      <c r="N67" s="248">
        <f t="shared" si="45"/>
        <v>0</v>
      </c>
      <c r="O67" s="248"/>
    </row>
    <row r="68" spans="1:15" x14ac:dyDescent="0.2">
      <c r="A68" s="799"/>
      <c r="B68" s="799"/>
      <c r="C68" s="247" t="s">
        <v>313</v>
      </c>
      <c r="D68" s="248">
        <f t="shared" ref="D68:N68" si="46">D70*D$28</f>
        <v>263.03918654673441</v>
      </c>
      <c r="E68" s="248">
        <f t="shared" si="46"/>
        <v>178.65635840997376</v>
      </c>
      <c r="F68" s="248">
        <f t="shared" si="46"/>
        <v>0.73402124430955995</v>
      </c>
      <c r="G68" s="248">
        <f t="shared" si="46"/>
        <v>0</v>
      </c>
      <c r="H68" s="248">
        <f t="shared" si="46"/>
        <v>0</v>
      </c>
      <c r="I68" s="248">
        <f>I61</f>
        <v>819</v>
      </c>
      <c r="J68" s="248">
        <v>0</v>
      </c>
      <c r="K68" s="248">
        <f t="shared" si="46"/>
        <v>3.9404988650298751</v>
      </c>
      <c r="L68" s="248">
        <f t="shared" si="46"/>
        <v>149.98502167914859</v>
      </c>
      <c r="M68" s="248">
        <f t="shared" si="46"/>
        <v>0.37173840321141843</v>
      </c>
      <c r="N68" s="248">
        <f t="shared" si="46"/>
        <v>0</v>
      </c>
      <c r="O68" s="248"/>
    </row>
    <row r="69" spans="1:15" x14ac:dyDescent="0.2">
      <c r="A69" s="799"/>
      <c r="B69" s="799"/>
      <c r="C69" s="247" t="s">
        <v>314</v>
      </c>
      <c r="D69" s="248">
        <f t="shared" ref="D69:N69" si="47">D70*D$29</f>
        <v>275.03786555425199</v>
      </c>
      <c r="E69" s="248">
        <f t="shared" si="47"/>
        <v>227.2412621949434</v>
      </c>
      <c r="F69" s="248">
        <f t="shared" si="47"/>
        <v>0.79320182094081948</v>
      </c>
      <c r="G69" s="248">
        <f t="shared" si="47"/>
        <v>0</v>
      </c>
      <c r="H69" s="248">
        <f t="shared" si="47"/>
        <v>2.752924982794219</v>
      </c>
      <c r="I69" s="248">
        <f>I66+I67+I68</f>
        <v>975</v>
      </c>
      <c r="J69" s="248">
        <v>0</v>
      </c>
      <c r="K69" s="248">
        <f t="shared" si="47"/>
        <v>7.2747671354397685</v>
      </c>
      <c r="L69" s="248">
        <f t="shared" si="47"/>
        <v>173.15569570358693</v>
      </c>
      <c r="M69" s="248">
        <f t="shared" si="47"/>
        <v>0.55760760481712757</v>
      </c>
      <c r="N69" s="248">
        <f t="shared" si="47"/>
        <v>0</v>
      </c>
      <c r="O69" s="248"/>
    </row>
    <row r="70" spans="1:15" x14ac:dyDescent="0.2">
      <c r="A70" s="799"/>
      <c r="B70" s="799"/>
      <c r="C70" t="s">
        <v>320</v>
      </c>
      <c r="D70" s="200">
        <v>4376</v>
      </c>
      <c r="E70" s="200">
        <v>46751</v>
      </c>
      <c r="F70" s="200">
        <v>21</v>
      </c>
      <c r="G70" s="200">
        <v>0</v>
      </c>
      <c r="H70" s="200">
        <v>18000</v>
      </c>
      <c r="I70" s="200">
        <v>22000</v>
      </c>
      <c r="J70" s="248">
        <v>0</v>
      </c>
      <c r="K70" s="236">
        <v>4647</v>
      </c>
      <c r="L70" s="236">
        <v>1936</v>
      </c>
      <c r="M70" s="236">
        <v>4445</v>
      </c>
      <c r="N70" s="236">
        <v>0</v>
      </c>
      <c r="O70" s="236"/>
    </row>
    <row r="71" spans="1:15" x14ac:dyDescent="0.2">
      <c r="A71" s="799"/>
      <c r="B71" s="799"/>
      <c r="C71" s="249" t="s">
        <v>321</v>
      </c>
      <c r="D71" s="250">
        <f>(D66*$A$3)+(D67*$A$4)+(D68*$A$5)</f>
        <v>4.6027807378438279</v>
      </c>
      <c r="E71" s="250">
        <f>(E66*$A$3)+(E67*$A$4)+(E68*$A$5)</f>
        <v>11.852675210751871</v>
      </c>
      <c r="F71" s="250">
        <f>(F66*$A$3)+(F67*$A$4)+(F68*$A$5)</f>
        <v>1.6544740515933229E-2</v>
      </c>
      <c r="G71" s="250">
        <f>(G66*$A$3)+(G67*$A$4)+(G68*$A$5)</f>
        <v>0</v>
      </c>
      <c r="H71" s="250">
        <f>H69</f>
        <v>2.752924982794219</v>
      </c>
      <c r="I71" s="250">
        <f>((I66*$A$3)+(I67*$A$4)+(I68*$A$5))/$I$16</f>
        <v>2.5459199999999997</v>
      </c>
      <c r="J71" s="251">
        <f>((J66*$A$3)+(J67*$A$4)+(J68*$A$5))</f>
        <v>0</v>
      </c>
      <c r="K71" s="250">
        <f>(K66*$A$3)+(K67*$A$4)+(K68*$A$5)</f>
        <v>0.14943584157382522</v>
      </c>
      <c r="L71" s="250">
        <f>(L66*$A$3)+(L67*$A$4)+(L68*$A$5)</f>
        <v>1.5826819077650764</v>
      </c>
      <c r="M71" s="250">
        <f>M69</f>
        <v>0.55760760481712757</v>
      </c>
      <c r="N71" s="250">
        <f>(N66*$A$3)+(N67*$A$4)+(N68*$A$5)</f>
        <v>0</v>
      </c>
      <c r="O71" s="250"/>
    </row>
    <row r="72" spans="1:15" x14ac:dyDescent="0.2">
      <c r="A72" s="799"/>
      <c r="B72" s="800"/>
      <c r="C72" s="252" t="s">
        <v>322</v>
      </c>
      <c r="D72" s="253">
        <f t="shared" ref="D72:J72" si="48">D71*$D$4</f>
        <v>0.1173709088150176</v>
      </c>
      <c r="E72" s="253">
        <f t="shared" si="48"/>
        <v>0.30224321787417269</v>
      </c>
      <c r="F72" s="253">
        <f t="shared" si="48"/>
        <v>4.2189088315629729E-4</v>
      </c>
      <c r="G72" s="253">
        <f t="shared" si="48"/>
        <v>0</v>
      </c>
      <c r="H72" s="253">
        <f t="shared" si="48"/>
        <v>7.019958706125258E-2</v>
      </c>
      <c r="I72" s="253">
        <f t="shared" si="48"/>
        <v>6.4920959999999986E-2</v>
      </c>
      <c r="J72" s="255">
        <f t="shared" si="48"/>
        <v>0</v>
      </c>
      <c r="K72" s="253">
        <f>K71*$G$6</f>
        <v>1.380787176142145E-2</v>
      </c>
      <c r="L72" s="253">
        <f>L71*$G$6</f>
        <v>0.14623980827749306</v>
      </c>
      <c r="M72" s="253">
        <f>M71*$G$6</f>
        <v>5.1522942685102588E-2</v>
      </c>
      <c r="N72" s="253">
        <f>N71*$G$6</f>
        <v>0</v>
      </c>
      <c r="O72" s="253"/>
    </row>
    <row r="73" spans="1:15" x14ac:dyDescent="0.2">
      <c r="A73" s="799"/>
      <c r="B73" s="801" t="s">
        <v>114</v>
      </c>
      <c r="C73" s="247" t="s">
        <v>261</v>
      </c>
      <c r="D73" s="248">
        <f t="shared" ref="D73:N73" si="49">D77*D$26</f>
        <v>62.618515621605191</v>
      </c>
      <c r="E73" s="248">
        <f t="shared" si="49"/>
        <v>74.648415555924345</v>
      </c>
      <c r="F73" s="248">
        <f t="shared" si="49"/>
        <v>30.48338174723607</v>
      </c>
      <c r="G73" s="248">
        <f t="shared" si="49"/>
        <v>5.4960119641076777E-2</v>
      </c>
      <c r="H73" s="248">
        <f t="shared" si="49"/>
        <v>0</v>
      </c>
      <c r="I73" s="248">
        <f t="shared" si="49"/>
        <v>0</v>
      </c>
      <c r="J73" s="248">
        <f t="shared" si="49"/>
        <v>0</v>
      </c>
      <c r="K73" s="248">
        <f t="shared" si="49"/>
        <v>0</v>
      </c>
      <c r="L73" s="248">
        <f t="shared" si="49"/>
        <v>0.66309528075393276</v>
      </c>
      <c r="M73" s="248">
        <f t="shared" si="49"/>
        <v>0</v>
      </c>
      <c r="N73" s="248">
        <f t="shared" si="49"/>
        <v>0</v>
      </c>
      <c r="O73" s="248"/>
    </row>
    <row r="74" spans="1:15" x14ac:dyDescent="0.2">
      <c r="A74" s="799"/>
      <c r="B74" s="799"/>
      <c r="C74" s="247" t="s">
        <v>264</v>
      </c>
      <c r="D74" s="248">
        <f t="shared" ref="D74:N74" si="50">D77*D$27</f>
        <v>23.091426584973711</v>
      </c>
      <c r="E74" s="248">
        <f t="shared" si="50"/>
        <v>69.123450588791783</v>
      </c>
      <c r="F74" s="248">
        <f t="shared" si="50"/>
        <v>26.453969217429002</v>
      </c>
      <c r="G74" s="248">
        <f t="shared" si="50"/>
        <v>0.22114905284147557</v>
      </c>
      <c r="H74" s="248">
        <f t="shared" si="50"/>
        <v>0</v>
      </c>
      <c r="I74" s="248">
        <f t="shared" si="50"/>
        <v>0</v>
      </c>
      <c r="J74" s="248">
        <f t="shared" si="50"/>
        <v>0</v>
      </c>
      <c r="K74" s="248">
        <f t="shared" si="50"/>
        <v>5.650390064445431</v>
      </c>
      <c r="L74" s="248">
        <f t="shared" si="50"/>
        <v>43.631669473608774</v>
      </c>
      <c r="M74" s="248">
        <f t="shared" si="50"/>
        <v>0.30742640499553975</v>
      </c>
      <c r="N74" s="248">
        <f t="shared" si="50"/>
        <v>0</v>
      </c>
      <c r="O74" s="248"/>
    </row>
    <row r="75" spans="1:15" x14ac:dyDescent="0.2">
      <c r="A75" s="799"/>
      <c r="B75" s="799"/>
      <c r="C75" s="247" t="s">
        <v>313</v>
      </c>
      <c r="D75" s="248">
        <f t="shared" ref="D75:N75" si="51">D77*D$28</f>
        <v>1878.9629644114195</v>
      </c>
      <c r="E75" s="248">
        <f t="shared" si="51"/>
        <v>528.67775885495109</v>
      </c>
      <c r="F75" s="248">
        <f t="shared" si="51"/>
        <v>706.19834381096905</v>
      </c>
      <c r="G75" s="248">
        <f t="shared" si="51"/>
        <v>1.1096709870388832</v>
      </c>
      <c r="H75" s="248">
        <f t="shared" si="51"/>
        <v>0</v>
      </c>
      <c r="I75" s="248">
        <f t="shared" si="51"/>
        <v>0</v>
      </c>
      <c r="J75" s="248">
        <v>0</v>
      </c>
      <c r="K75" s="248">
        <f t="shared" si="51"/>
        <v>6.6777337125264182</v>
      </c>
      <c r="L75" s="248">
        <f t="shared" si="51"/>
        <v>286.7223993980005</v>
      </c>
      <c r="M75" s="248">
        <f t="shared" si="51"/>
        <v>0.6148528099910795</v>
      </c>
      <c r="N75" s="248">
        <f t="shared" si="51"/>
        <v>0</v>
      </c>
      <c r="O75" s="248"/>
    </row>
    <row r="76" spans="1:15" x14ac:dyDescent="0.2">
      <c r="A76" s="799"/>
      <c r="B76" s="799"/>
      <c r="C76" s="247" t="s">
        <v>314</v>
      </c>
      <c r="D76" s="248">
        <f t="shared" ref="D76:N76" si="52">D77*D$29</f>
        <v>1964.6729066179987</v>
      </c>
      <c r="E76" s="248">
        <f t="shared" si="52"/>
        <v>672.44962499966732</v>
      </c>
      <c r="F76" s="248">
        <f t="shared" si="52"/>
        <v>763.13569477563408</v>
      </c>
      <c r="G76" s="248">
        <f t="shared" si="52"/>
        <v>1.3857801595214359</v>
      </c>
      <c r="H76" s="248">
        <f t="shared" si="52"/>
        <v>0</v>
      </c>
      <c r="I76" s="248">
        <f t="shared" si="52"/>
        <v>0</v>
      </c>
      <c r="J76" s="248">
        <v>0</v>
      </c>
      <c r="K76" s="248">
        <f t="shared" si="52"/>
        <v>12.328123776971848</v>
      </c>
      <c r="L76" s="248">
        <f t="shared" si="52"/>
        <v>331.01716415236325</v>
      </c>
      <c r="M76" s="248">
        <f t="shared" si="52"/>
        <v>0.92227921498661902</v>
      </c>
      <c r="N76" s="248">
        <f t="shared" si="52"/>
        <v>0</v>
      </c>
      <c r="O76" s="248"/>
    </row>
    <row r="77" spans="1:15" x14ac:dyDescent="0.2">
      <c r="A77" s="799"/>
      <c r="B77" s="799"/>
      <c r="C77" t="s">
        <v>320</v>
      </c>
      <c r="D77" s="200">
        <v>31259</v>
      </c>
      <c r="E77" s="200">
        <v>138345</v>
      </c>
      <c r="F77" s="200">
        <v>20204</v>
      </c>
      <c r="G77" s="200">
        <v>42</v>
      </c>
      <c r="H77" s="200">
        <v>0</v>
      </c>
      <c r="I77" s="200">
        <v>0</v>
      </c>
      <c r="J77" s="248">
        <v>0</v>
      </c>
      <c r="K77" s="236">
        <v>7875</v>
      </c>
      <c r="L77" s="236">
        <v>3701</v>
      </c>
      <c r="M77" s="236">
        <v>7352</v>
      </c>
      <c r="N77" s="236">
        <v>0</v>
      </c>
      <c r="O77" s="236"/>
    </row>
    <row r="78" spans="1:15" x14ac:dyDescent="0.2">
      <c r="A78" s="799"/>
      <c r="B78" s="799"/>
      <c r="C78" s="249" t="s">
        <v>321</v>
      </c>
      <c r="D78" s="250">
        <f>(D73*$A$3)+(D74*$A$4)+(D75*$A$5)</f>
        <v>32.87895865728067</v>
      </c>
      <c r="E78" s="250">
        <f>(E73*$A$3)+(E74*$A$4)+(E75*$A$5)</f>
        <v>35.074294710946674</v>
      </c>
      <c r="F78" s="250">
        <f>(F73*$A$3)+(F74*$A$4)+(F75*$A$5)</f>
        <v>15.917616065900715</v>
      </c>
      <c r="G78" s="250">
        <f>(G73*$A$3)+(G74*$A$4)+(G75*$A$5)</f>
        <v>3.5219491525423724E-2</v>
      </c>
      <c r="H78" s="250">
        <f>H76</f>
        <v>0</v>
      </c>
      <c r="I78" s="250">
        <f>((I73*$A$3)+(I74*$A$4)+(I75*$A$5))/$I$16</f>
        <v>0</v>
      </c>
      <c r="J78" s="251">
        <f>((J73*$A$3)+(J74*$A$4)+(J75*$A$5))</f>
        <v>0</v>
      </c>
      <c r="K78" s="250">
        <f>(K73*$A$3)+(K74*$A$4)+(K75*$A$5)</f>
        <v>0.25324020925196339</v>
      </c>
      <c r="L78" s="250">
        <f>(L73*$A$3)+(L74*$A$4)+(L75*$A$5)</f>
        <v>3.0255711470240438</v>
      </c>
      <c r="M78" s="250">
        <f>M76</f>
        <v>0.92227921498661902</v>
      </c>
      <c r="N78" s="250">
        <f>(N73*$A$3)+(N74*$A$4)+(N75*$A$5)</f>
        <v>0</v>
      </c>
      <c r="O78" s="250"/>
    </row>
    <row r="79" spans="1:15" x14ac:dyDescent="0.2">
      <c r="A79" s="800"/>
      <c r="B79" s="800"/>
      <c r="C79" s="252" t="s">
        <v>322</v>
      </c>
      <c r="D79" s="253">
        <f t="shared" ref="D79:J79" si="53">D78*$D$5</f>
        <v>0.37482012869299963</v>
      </c>
      <c r="E79" s="253">
        <f t="shared" si="53"/>
        <v>0.39984695970479212</v>
      </c>
      <c r="F79" s="253">
        <f t="shared" si="53"/>
        <v>0.18146082315126816</v>
      </c>
      <c r="G79" s="258">
        <f t="shared" si="53"/>
        <v>4.0150220338983046E-4</v>
      </c>
      <c r="H79" s="253">
        <f t="shared" si="53"/>
        <v>0</v>
      </c>
      <c r="I79" s="253">
        <f t="shared" si="53"/>
        <v>0</v>
      </c>
      <c r="J79" s="254">
        <f t="shared" si="53"/>
        <v>0</v>
      </c>
      <c r="K79" s="253">
        <f>K78*$G$5</f>
        <v>7.0400778172045814E-3</v>
      </c>
      <c r="L79" s="253">
        <f>L78*$G$5</f>
        <v>8.4110877887268412E-2</v>
      </c>
      <c r="M79" s="253">
        <f>M78*$G$5</f>
        <v>2.5639362176628006E-2</v>
      </c>
      <c r="N79" s="253">
        <f>N78*$G$5</f>
        <v>0</v>
      </c>
      <c r="O79" s="253"/>
    </row>
    <row r="80" spans="1:15" x14ac:dyDescent="0.2">
      <c r="A80" s="801">
        <v>2022</v>
      </c>
      <c r="B80" s="244" t="s">
        <v>120</v>
      </c>
      <c r="C80" s="245" t="s">
        <v>319</v>
      </c>
      <c r="D80" s="246">
        <f t="shared" ref="D80:N80" si="54">D85+D92</f>
        <v>18055</v>
      </c>
      <c r="E80" s="246">
        <f t="shared" si="54"/>
        <v>86000</v>
      </c>
      <c r="F80" s="246">
        <f t="shared" si="54"/>
        <v>380</v>
      </c>
      <c r="G80" s="246">
        <f t="shared" si="54"/>
        <v>12380</v>
      </c>
      <c r="H80" s="246">
        <f>H85+H92</f>
        <v>18000</v>
      </c>
      <c r="I80" s="246">
        <f t="shared" si="54"/>
        <v>22000</v>
      </c>
      <c r="J80" s="246">
        <f t="shared" si="54"/>
        <v>0</v>
      </c>
      <c r="K80" s="246">
        <f t="shared" si="54"/>
        <v>6312</v>
      </c>
      <c r="L80" s="246">
        <f t="shared" si="54"/>
        <v>2087</v>
      </c>
      <c r="M80" s="246">
        <f t="shared" si="54"/>
        <v>6154</v>
      </c>
      <c r="N80" s="246">
        <f t="shared" si="54"/>
        <v>1654</v>
      </c>
      <c r="O80" s="246">
        <f>O85+O92</f>
        <v>500</v>
      </c>
    </row>
    <row r="81" spans="1:15" x14ac:dyDescent="0.2">
      <c r="A81" s="799"/>
      <c r="B81" s="801" t="s">
        <v>74</v>
      </c>
      <c r="C81" s="256" t="s">
        <v>261</v>
      </c>
      <c r="D81" s="257">
        <f t="shared" ref="D81:N81" si="55">D85*D$26</f>
        <v>22.772554643027856</v>
      </c>
      <c r="E81" s="257">
        <f t="shared" si="55"/>
        <v>21.213650349352456</v>
      </c>
      <c r="F81" s="257">
        <f t="shared" si="55"/>
        <v>0.37870366355950569</v>
      </c>
      <c r="G81" s="257">
        <f t="shared" si="55"/>
        <v>16.200149551345962</v>
      </c>
      <c r="H81" s="257">
        <f t="shared" si="55"/>
        <v>0</v>
      </c>
      <c r="I81" s="257">
        <f t="shared" si="55"/>
        <v>0</v>
      </c>
      <c r="J81" s="257">
        <f t="shared" si="55"/>
        <v>0</v>
      </c>
      <c r="K81" s="257">
        <f t="shared" si="55"/>
        <v>0</v>
      </c>
      <c r="L81" s="257">
        <f t="shared" si="55"/>
        <v>0.1153832371806357</v>
      </c>
      <c r="M81" s="257">
        <f t="shared" si="55"/>
        <v>0</v>
      </c>
      <c r="N81" s="257">
        <f t="shared" si="55"/>
        <v>0</v>
      </c>
      <c r="O81" s="77">
        <v>0</v>
      </c>
    </row>
    <row r="82" spans="1:15" x14ac:dyDescent="0.2">
      <c r="A82" s="799"/>
      <c r="B82" s="799"/>
      <c r="C82" s="247" t="s">
        <v>264</v>
      </c>
      <c r="D82" s="248">
        <f t="shared" ref="D82:N82" si="56">D85*D$27</f>
        <v>8.397688263155608</v>
      </c>
      <c r="E82" s="248">
        <f t="shared" si="56"/>
        <v>19.643561096522092</v>
      </c>
      <c r="F82" s="248">
        <f t="shared" si="56"/>
        <v>0.3286451333188814</v>
      </c>
      <c r="G82" s="248">
        <f t="shared" si="56"/>
        <v>65.186316051844472</v>
      </c>
      <c r="H82" s="248">
        <f t="shared" si="56"/>
        <v>0</v>
      </c>
      <c r="I82" s="248">
        <f t="shared" si="56"/>
        <v>0</v>
      </c>
      <c r="J82" s="248">
        <f t="shared" si="56"/>
        <v>0</v>
      </c>
      <c r="K82" s="248">
        <f t="shared" si="56"/>
        <v>1.4299971299606022</v>
      </c>
      <c r="L82" s="248">
        <f t="shared" si="56"/>
        <v>7.5922170064858276</v>
      </c>
      <c r="M82" s="248">
        <f t="shared" si="56"/>
        <v>8.3337979482604824E-2</v>
      </c>
      <c r="N82" s="248">
        <f t="shared" si="56"/>
        <v>1.3940160134850401</v>
      </c>
      <c r="O82" s="77">
        <v>0</v>
      </c>
    </row>
    <row r="83" spans="1:15" x14ac:dyDescent="0.2">
      <c r="A83" s="799"/>
      <c r="B83" s="799"/>
      <c r="C83" s="247" t="s">
        <v>313</v>
      </c>
      <c r="D83" s="248">
        <f t="shared" ref="D83:N83" si="57">D85*D$28</f>
        <v>683.32483378959716</v>
      </c>
      <c r="E83" s="248">
        <f t="shared" si="57"/>
        <v>150.24009605972316</v>
      </c>
      <c r="F83" s="248">
        <f t="shared" si="57"/>
        <v>8.7733015391285498</v>
      </c>
      <c r="G83" s="248">
        <f t="shared" si="57"/>
        <v>327.08873379860415</v>
      </c>
      <c r="H83" s="248">
        <f t="shared" si="57"/>
        <v>0</v>
      </c>
      <c r="I83" s="248">
        <f t="shared" si="57"/>
        <v>0</v>
      </c>
      <c r="J83" s="248">
        <v>0</v>
      </c>
      <c r="K83" s="248">
        <f t="shared" si="57"/>
        <v>1.6899966081352573</v>
      </c>
      <c r="L83" s="248">
        <f t="shared" si="57"/>
        <v>49.891711756906872</v>
      </c>
      <c r="M83" s="248">
        <f t="shared" si="57"/>
        <v>0.16667595896520965</v>
      </c>
      <c r="N83" s="248">
        <f t="shared" si="57"/>
        <v>0</v>
      </c>
      <c r="O83" s="77">
        <f>O85*0.02</f>
        <v>1</v>
      </c>
    </row>
    <row r="84" spans="1:15" x14ac:dyDescent="0.2">
      <c r="A84" s="799"/>
      <c r="B84" s="799"/>
      <c r="C84" s="247" t="s">
        <v>314</v>
      </c>
      <c r="D84" s="248">
        <f t="shared" ref="D84:N84" si="58">D85*D$29</f>
        <v>714.49507669578065</v>
      </c>
      <c r="E84" s="248">
        <f t="shared" si="58"/>
        <v>191.09730750559774</v>
      </c>
      <c r="F84" s="248">
        <f t="shared" si="58"/>
        <v>9.4806503360069367</v>
      </c>
      <c r="G84" s="248">
        <f t="shared" si="58"/>
        <v>408.47519940179467</v>
      </c>
      <c r="H84" s="248">
        <f t="shared" si="58"/>
        <v>0</v>
      </c>
      <c r="I84" s="248">
        <f t="shared" si="58"/>
        <v>0</v>
      </c>
      <c r="J84" s="248">
        <v>0</v>
      </c>
      <c r="K84" s="248">
        <f t="shared" si="58"/>
        <v>3.1199937380958596</v>
      </c>
      <c r="L84" s="248">
        <f t="shared" si="58"/>
        <v>57.599312000573335</v>
      </c>
      <c r="M84" s="248">
        <f t="shared" si="58"/>
        <v>0.25001393844781444</v>
      </c>
      <c r="N84" s="248">
        <f t="shared" si="58"/>
        <v>1.3940160134850401</v>
      </c>
      <c r="O84" s="77">
        <v>1</v>
      </c>
    </row>
    <row r="85" spans="1:15" x14ac:dyDescent="0.2">
      <c r="A85" s="799"/>
      <c r="B85" s="799"/>
      <c r="C85" t="s">
        <v>320</v>
      </c>
      <c r="D85" s="73">
        <v>11368</v>
      </c>
      <c r="E85" s="73">
        <v>39315</v>
      </c>
      <c r="F85" s="73">
        <v>251</v>
      </c>
      <c r="G85" s="73">
        <v>12380</v>
      </c>
      <c r="H85" s="73">
        <v>0</v>
      </c>
      <c r="I85" s="73">
        <v>0</v>
      </c>
      <c r="J85" s="73">
        <v>0</v>
      </c>
      <c r="K85" s="73">
        <v>1993</v>
      </c>
      <c r="L85" s="73">
        <v>644</v>
      </c>
      <c r="M85" s="73">
        <v>1993</v>
      </c>
      <c r="N85" s="73">
        <v>1654</v>
      </c>
      <c r="O85" s="73">
        <v>50</v>
      </c>
    </row>
    <row r="86" spans="1:15" x14ac:dyDescent="0.2">
      <c r="A86" s="799"/>
      <c r="B86" s="799"/>
      <c r="C86" s="249" t="s">
        <v>321</v>
      </c>
      <c r="D86" s="250">
        <f>(D81*$A$3)+(D82*$A$4)+(D83*$A$5)</f>
        <v>11.957132410376744</v>
      </c>
      <c r="E86" s="250">
        <f>(E81*$A$3)+(E82*$A$4)+(E83*$A$5)</f>
        <v>9.9674429618769622</v>
      </c>
      <c r="F86" s="250">
        <f>(F81*$A$3)+(F82*$A$4)+(F83*$A$5)</f>
        <v>0.19774904140472574</v>
      </c>
      <c r="G86" s="250">
        <f>(G81*$A$3)+(G82*$A$4)+(G83*$A$5)</f>
        <v>10.38136440677966</v>
      </c>
      <c r="H86" s="250">
        <f>H84</f>
        <v>0</v>
      </c>
      <c r="I86" s="250">
        <f>((I81*$A$3)+(I82*$A$4)+(I83*$A$5))/$I$16</f>
        <v>0</v>
      </c>
      <c r="J86" s="251">
        <f>((J81*$A$3)+(J82*$A$4)+(J83*$A$5))</f>
        <v>0</v>
      </c>
      <c r="K86" s="250">
        <f>(K81*$A$3)+(K82*$A$4)+(K83*$A$5)</f>
        <v>6.408987137005244E-2</v>
      </c>
      <c r="L86" s="250">
        <f>(L81*$A$3)+(L82*$A$4)+(L83*$A$5)</f>
        <v>0.52647063460780452</v>
      </c>
      <c r="M86" s="250">
        <f>M84</f>
        <v>0.25001393844781444</v>
      </c>
      <c r="N86" s="250">
        <f>(N81*$A$3)+(N82*$A$4)+(N83*$A$5)</f>
        <v>5.6875853350189631E-2</v>
      </c>
      <c r="O86" s="250">
        <f>(O81*$A$3)+(O82*$A$4)+(O83*$A$5)</f>
        <v>3.3999999999999998E-3</v>
      </c>
    </row>
    <row r="87" spans="1:15" x14ac:dyDescent="0.2">
      <c r="A87" s="799"/>
      <c r="B87" s="800"/>
      <c r="C87" s="252" t="s">
        <v>322</v>
      </c>
      <c r="D87" s="253">
        <f>D86*$D$3</f>
        <v>0.34795255314196327</v>
      </c>
      <c r="E87" s="253">
        <f t="shared" ref="E87:J87" si="59">E86*$D$3</f>
        <v>0.29005259019061963</v>
      </c>
      <c r="F87" s="253">
        <f t="shared" si="59"/>
        <v>5.7544971048775189E-3</v>
      </c>
      <c r="G87" s="253">
        <f t="shared" si="59"/>
        <v>0.3020977042372881</v>
      </c>
      <c r="H87" s="253">
        <f t="shared" si="59"/>
        <v>0</v>
      </c>
      <c r="I87" s="253">
        <f t="shared" si="59"/>
        <v>0</v>
      </c>
      <c r="J87" s="258">
        <f t="shared" si="59"/>
        <v>0</v>
      </c>
      <c r="K87" s="253">
        <f>K86*$G$6</f>
        <v>5.9219041145928452E-3</v>
      </c>
      <c r="L87" s="253">
        <f>L86*$G$6</f>
        <v>4.8645886637761135E-2</v>
      </c>
      <c r="M87" s="253">
        <f>M86*$G$6</f>
        <v>2.3101287912578053E-2</v>
      </c>
      <c r="N87" s="253">
        <f>N86*$G$6</f>
        <v>5.2553288495575216E-3</v>
      </c>
      <c r="O87" s="253">
        <f>O86*$G$6</f>
        <v>3.1415999999999996E-4</v>
      </c>
    </row>
    <row r="88" spans="1:15" x14ac:dyDescent="0.2">
      <c r="A88" s="799"/>
      <c r="B88" s="799" t="s">
        <v>76</v>
      </c>
      <c r="C88" s="247" t="s">
        <v>323</v>
      </c>
      <c r="D88" s="248">
        <f t="shared" ref="D88:N88" si="60">D92*D$26</f>
        <v>13.395502542041458</v>
      </c>
      <c r="E88" s="248">
        <f t="shared" si="60"/>
        <v>25.190366693616163</v>
      </c>
      <c r="F88" s="248">
        <f t="shared" si="60"/>
        <v>0.19463256015608063</v>
      </c>
      <c r="G88" s="248">
        <f t="shared" si="60"/>
        <v>0</v>
      </c>
      <c r="H88" s="248">
        <f t="shared" si="60"/>
        <v>0</v>
      </c>
      <c r="I88" s="248">
        <f>I92*0.3*(I110/I113)</f>
        <v>70.61862009592916</v>
      </c>
      <c r="J88" s="248">
        <f t="shared" si="60"/>
        <v>0</v>
      </c>
      <c r="K88" s="248">
        <f t="shared" si="60"/>
        <v>0</v>
      </c>
      <c r="L88" s="248">
        <f t="shared" si="60"/>
        <v>0.25853728455226294</v>
      </c>
      <c r="M88" s="248">
        <f t="shared" si="60"/>
        <v>0</v>
      </c>
      <c r="N88" s="248">
        <f t="shared" si="60"/>
        <v>0</v>
      </c>
      <c r="O88" s="77">
        <v>0</v>
      </c>
    </row>
    <row r="89" spans="1:15" x14ac:dyDescent="0.2">
      <c r="A89" s="799"/>
      <c r="B89" s="799"/>
      <c r="C89" s="247" t="s">
        <v>324</v>
      </c>
      <c r="D89" s="248">
        <f t="shared" ref="D89:N89" si="61">D92*D$27</f>
        <v>4.9397731716855695</v>
      </c>
      <c r="E89" s="248">
        <f t="shared" si="61"/>
        <v>23.325948106095229</v>
      </c>
      <c r="F89" s="248">
        <f t="shared" si="61"/>
        <v>0.16890526772165618</v>
      </c>
      <c r="G89" s="248">
        <f t="shared" si="61"/>
        <v>0</v>
      </c>
      <c r="H89" s="248">
        <f t="shared" si="61"/>
        <v>2.752924982794219</v>
      </c>
      <c r="I89" s="248">
        <f>(I92*0.3)*(I111/I113)</f>
        <v>1066.5846759316196</v>
      </c>
      <c r="J89" s="248">
        <f t="shared" si="61"/>
        <v>0</v>
      </c>
      <c r="K89" s="248">
        <f t="shared" si="61"/>
        <v>3.098925039789183</v>
      </c>
      <c r="L89" s="248">
        <f t="shared" si="61"/>
        <v>17.011753323538898</v>
      </c>
      <c r="M89" s="248">
        <f t="shared" si="61"/>
        <v>0.17399364406779663</v>
      </c>
      <c r="N89" s="248">
        <f t="shared" si="61"/>
        <v>0</v>
      </c>
      <c r="O89" s="77">
        <v>0</v>
      </c>
    </row>
    <row r="90" spans="1:15" x14ac:dyDescent="0.2">
      <c r="A90" s="799"/>
      <c r="B90" s="799"/>
      <c r="C90" s="247" t="s">
        <v>325</v>
      </c>
      <c r="D90" s="248">
        <f t="shared" ref="D90:N90" si="62">D92*D$28</f>
        <v>401.95224872897921</v>
      </c>
      <c r="E90" s="248">
        <f t="shared" si="62"/>
        <v>178.40414306366975</v>
      </c>
      <c r="F90" s="248">
        <f t="shared" si="62"/>
        <v>4.5089876436158685</v>
      </c>
      <c r="G90" s="248">
        <f t="shared" si="62"/>
        <v>0</v>
      </c>
      <c r="H90" s="248">
        <f t="shared" si="62"/>
        <v>0</v>
      </c>
      <c r="I90" s="248">
        <f>I92*0.3*I112/I113</f>
        <v>5462.7967039724508</v>
      </c>
      <c r="J90" s="248">
        <v>0</v>
      </c>
      <c r="K90" s="248">
        <f t="shared" si="62"/>
        <v>3.6623659561144888</v>
      </c>
      <c r="L90" s="248">
        <f t="shared" si="62"/>
        <v>111.79152184039846</v>
      </c>
      <c r="M90" s="248">
        <f t="shared" si="62"/>
        <v>0.34798728813559326</v>
      </c>
      <c r="N90" s="248">
        <f t="shared" si="62"/>
        <v>0</v>
      </c>
      <c r="O90" s="77">
        <f>O92*0.02</f>
        <v>9</v>
      </c>
    </row>
    <row r="91" spans="1:15" x14ac:dyDescent="0.2">
      <c r="A91" s="799"/>
      <c r="B91" s="799"/>
      <c r="C91" s="247" t="s">
        <v>326</v>
      </c>
      <c r="D91" s="248">
        <f>D92*D$29</f>
        <v>420.28752444270634</v>
      </c>
      <c r="E91" s="248">
        <f t="shared" ref="E91:N91" si="63">E92*E$29</f>
        <v>226.92045786338119</v>
      </c>
      <c r="F91" s="248">
        <f t="shared" si="63"/>
        <v>4.8725254714936055</v>
      </c>
      <c r="G91" s="248">
        <f t="shared" si="63"/>
        <v>0</v>
      </c>
      <c r="H91" s="248">
        <f t="shared" si="63"/>
        <v>2.752924982794219</v>
      </c>
      <c r="I91" s="248">
        <f>I88+I89+I90</f>
        <v>6600</v>
      </c>
      <c r="J91" s="248">
        <v>0</v>
      </c>
      <c r="K91" s="248">
        <f t="shared" si="63"/>
        <v>6.7612909959036713</v>
      </c>
      <c r="L91" s="248">
        <f t="shared" si="63"/>
        <v>129.06181244848963</v>
      </c>
      <c r="M91" s="248">
        <f t="shared" si="63"/>
        <v>0.52198093220338981</v>
      </c>
      <c r="N91" s="248">
        <f t="shared" si="63"/>
        <v>0</v>
      </c>
      <c r="O91" s="77">
        <v>9</v>
      </c>
    </row>
    <row r="92" spans="1:15" x14ac:dyDescent="0.2">
      <c r="A92" s="799"/>
      <c r="B92" s="799"/>
      <c r="C92" t="s">
        <v>320</v>
      </c>
      <c r="D92" s="73">
        <v>6687</v>
      </c>
      <c r="E92" s="73">
        <v>46685</v>
      </c>
      <c r="F92" s="73">
        <v>129</v>
      </c>
      <c r="G92" s="73">
        <v>0</v>
      </c>
      <c r="H92" s="73">
        <v>18000</v>
      </c>
      <c r="I92" s="73">
        <v>22000</v>
      </c>
      <c r="J92" s="73">
        <v>0</v>
      </c>
      <c r="K92" s="73">
        <v>4319</v>
      </c>
      <c r="L92" s="73">
        <v>1443</v>
      </c>
      <c r="M92" s="73">
        <v>4161</v>
      </c>
      <c r="N92" s="73">
        <v>0</v>
      </c>
      <c r="O92" s="73">
        <v>450</v>
      </c>
    </row>
    <row r="93" spans="1:15" x14ac:dyDescent="0.2">
      <c r="A93" s="799"/>
      <c r="B93" s="799"/>
      <c r="C93" s="249" t="s">
        <v>321</v>
      </c>
      <c r="D93" s="250">
        <f>(D88*$A$3)+(D89*$A$4)+(D90*$A$5)</f>
        <v>7.0335454282362146</v>
      </c>
      <c r="E93" s="250">
        <f>(E88*$A$3)+(E89*$A$4)+(E90*$A$5)</f>
        <v>11.835942380140557</v>
      </c>
      <c r="F93" s="250">
        <f>(F88*$A$3)+(F89*$A$4)+(F90*$A$5)</f>
        <v>0.10163197745501842</v>
      </c>
      <c r="G93" s="250">
        <f>(G88*$A$3)+(G89*$A$4)+(G90*$A$5)</f>
        <v>0</v>
      </c>
      <c r="H93" s="250">
        <f>H91</f>
        <v>2.752924982794219</v>
      </c>
      <c r="I93" s="250">
        <f>I91*A5</f>
        <v>22.439999999999998</v>
      </c>
      <c r="J93" s="251">
        <v>0</v>
      </c>
      <c r="K93" s="250">
        <f>(K88*$A$3)+(K89*$A$4)+(K90*$A$5)</f>
        <v>0.13888818587418791</v>
      </c>
      <c r="L93" s="250">
        <f>(L88*$A$3)+(L89*$A$4)+(L90*$A$5)</f>
        <v>1.1796539219550648</v>
      </c>
      <c r="M93" s="250">
        <f>M91</f>
        <v>0.52198093220338981</v>
      </c>
      <c r="N93" s="250">
        <f>(N88*$A$3)+(N89*$A$4)+(N90*$A$5)</f>
        <v>0</v>
      </c>
      <c r="O93" s="250">
        <f>(O88*$A$3)+(O89*$A$4)+(O90*$A$5)</f>
        <v>3.0599999999999999E-2</v>
      </c>
    </row>
    <row r="94" spans="1:15" x14ac:dyDescent="0.2">
      <c r="A94" s="799"/>
      <c r="B94" s="800"/>
      <c r="C94" s="252" t="s">
        <v>322</v>
      </c>
      <c r="D94" s="253">
        <f t="shared" ref="D94:I94" si="64">D93*$D$4</f>
        <v>0.17935540842002345</v>
      </c>
      <c r="E94" s="253">
        <f t="shared" si="64"/>
        <v>0.30181653069358416</v>
      </c>
      <c r="F94" s="253">
        <f t="shared" si="64"/>
        <v>2.5916154251029696E-3</v>
      </c>
      <c r="G94" s="253">
        <f t="shared" si="64"/>
        <v>0</v>
      </c>
      <c r="H94" s="253">
        <f>H93*$D$4</f>
        <v>7.019958706125258E-2</v>
      </c>
      <c r="I94" s="253">
        <f t="shared" si="64"/>
        <v>0.57221999999999995</v>
      </c>
      <c r="J94" s="258">
        <v>0</v>
      </c>
      <c r="K94" s="253">
        <f>K93*$G$6</f>
        <v>1.2833268374774963E-2</v>
      </c>
      <c r="L94" s="253">
        <f>L93*$G$6</f>
        <v>0.10900002238864798</v>
      </c>
      <c r="M94" s="253">
        <f>M93*$G$6</f>
        <v>4.8231038135593214E-2</v>
      </c>
      <c r="N94" s="253">
        <f>N93*$G$6</f>
        <v>0</v>
      </c>
      <c r="O94" s="253">
        <f>O93*$G$6</f>
        <v>2.8274399999999996E-3</v>
      </c>
    </row>
    <row r="95" spans="1:15" x14ac:dyDescent="0.2">
      <c r="A95" s="799"/>
      <c r="B95" s="801" t="s">
        <v>114</v>
      </c>
      <c r="C95" s="247" t="s">
        <v>261</v>
      </c>
      <c r="D95" s="248">
        <f t="shared" ref="D95:N95" si="65">D99*D$26</f>
        <v>44.655681571285804</v>
      </c>
      <c r="E95" s="248">
        <f t="shared" si="65"/>
        <v>73.764041324140322</v>
      </c>
      <c r="F95" s="248">
        <f t="shared" si="65"/>
        <v>30.504504660741379</v>
      </c>
      <c r="G95" s="248">
        <f t="shared" si="65"/>
        <v>3.9257228315054838E-3</v>
      </c>
      <c r="H95" s="248">
        <f t="shared" si="65"/>
        <v>0</v>
      </c>
      <c r="I95" s="248">
        <f t="shared" si="65"/>
        <v>0</v>
      </c>
      <c r="J95" s="248">
        <f t="shared" si="65"/>
        <v>0</v>
      </c>
      <c r="K95" s="248">
        <f t="shared" si="65"/>
        <v>0</v>
      </c>
      <c r="L95" s="248">
        <f t="shared" si="65"/>
        <v>0.57297452252123127</v>
      </c>
      <c r="M95" s="248">
        <f t="shared" si="65"/>
        <v>0</v>
      </c>
      <c r="N95" s="248">
        <f t="shared" si="65"/>
        <v>0</v>
      </c>
      <c r="O95" s="248">
        <v>0</v>
      </c>
    </row>
    <row r="96" spans="1:15" x14ac:dyDescent="0.2">
      <c r="A96" s="799"/>
      <c r="B96" s="799"/>
      <c r="C96" s="247" t="s">
        <v>264</v>
      </c>
      <c r="D96" s="248">
        <f t="shared" ref="D96:N96" si="66">D99*D$27</f>
        <v>16.467387998088039</v>
      </c>
      <c r="E96" s="248">
        <f t="shared" si="66"/>
        <v>68.304531686662827</v>
      </c>
      <c r="F96" s="248">
        <f t="shared" si="66"/>
        <v>26.472300021677864</v>
      </c>
      <c r="G96" s="248">
        <f t="shared" si="66"/>
        <v>1.5796360917248255E-2</v>
      </c>
      <c r="H96" s="248">
        <f t="shared" si="66"/>
        <v>0</v>
      </c>
      <c r="I96" s="248">
        <f t="shared" si="66"/>
        <v>0</v>
      </c>
      <c r="J96" s="248">
        <f t="shared" si="66"/>
        <v>0</v>
      </c>
      <c r="K96" s="248">
        <f t="shared" si="66"/>
        <v>5.6697628303806722</v>
      </c>
      <c r="L96" s="248">
        <f t="shared" si="66"/>
        <v>37.701723581897014</v>
      </c>
      <c r="M96" s="248">
        <f t="shared" si="66"/>
        <v>0.30855541926851027</v>
      </c>
      <c r="N96" s="248">
        <f t="shared" si="66"/>
        <v>0</v>
      </c>
      <c r="O96" s="248">
        <v>0</v>
      </c>
    </row>
    <row r="97" spans="1:15" x14ac:dyDescent="0.2">
      <c r="A97" s="799"/>
      <c r="B97" s="799"/>
      <c r="C97" s="247" t="s">
        <v>313</v>
      </c>
      <c r="D97" s="248">
        <f t="shared" ref="D97:N97" si="67">D99*D$28</f>
        <v>1339.961048103246</v>
      </c>
      <c r="E97" s="248">
        <f t="shared" si="67"/>
        <v>522.41441108840172</v>
      </c>
      <c r="F97" s="248">
        <f t="shared" si="67"/>
        <v>706.68769130717544</v>
      </c>
      <c r="G97" s="248">
        <f t="shared" si="67"/>
        <v>7.9262213359920231E-2</v>
      </c>
      <c r="H97" s="248">
        <f t="shared" si="67"/>
        <v>0</v>
      </c>
      <c r="I97" s="248">
        <f t="shared" si="67"/>
        <v>0</v>
      </c>
      <c r="J97" s="248">
        <v>0</v>
      </c>
      <c r="K97" s="248">
        <f t="shared" si="67"/>
        <v>6.7006287995407945</v>
      </c>
      <c r="L97" s="248">
        <f t="shared" si="67"/>
        <v>247.75418353818037</v>
      </c>
      <c r="M97" s="248">
        <f t="shared" si="67"/>
        <v>0.61711083853702053</v>
      </c>
      <c r="N97" s="248">
        <f t="shared" si="67"/>
        <v>0</v>
      </c>
      <c r="O97" s="248">
        <v>0</v>
      </c>
    </row>
    <row r="98" spans="1:15" x14ac:dyDescent="0.2">
      <c r="A98" s="799"/>
      <c r="B98" s="799"/>
      <c r="C98" s="247" t="s">
        <v>314</v>
      </c>
      <c r="D98" s="248">
        <f t="shared" ref="D98:N98" si="68">D99*D$29</f>
        <v>1401.0841176726199</v>
      </c>
      <c r="E98" s="248">
        <f t="shared" si="68"/>
        <v>664.48298409920505</v>
      </c>
      <c r="F98" s="248">
        <f t="shared" si="68"/>
        <v>763.66449598959468</v>
      </c>
      <c r="G98" s="248">
        <f t="shared" si="68"/>
        <v>9.8984297108673985E-2</v>
      </c>
      <c r="H98" s="248">
        <f t="shared" si="68"/>
        <v>0</v>
      </c>
      <c r="I98" s="248">
        <f t="shared" si="68"/>
        <v>0</v>
      </c>
      <c r="J98" s="248">
        <v>0</v>
      </c>
      <c r="K98" s="248">
        <f t="shared" si="68"/>
        <v>12.370391629921466</v>
      </c>
      <c r="L98" s="248">
        <f t="shared" si="68"/>
        <v>286.02888164259866</v>
      </c>
      <c r="M98" s="248">
        <f t="shared" si="68"/>
        <v>0.9256662578055308</v>
      </c>
      <c r="N98" s="248">
        <f t="shared" si="68"/>
        <v>0</v>
      </c>
      <c r="O98" s="248">
        <v>0</v>
      </c>
    </row>
    <row r="99" spans="1:15" x14ac:dyDescent="0.2">
      <c r="A99" s="799"/>
      <c r="B99" s="799"/>
      <c r="C99" t="s">
        <v>320</v>
      </c>
      <c r="D99" s="73">
        <v>22292</v>
      </c>
      <c r="E99" s="73">
        <v>136706</v>
      </c>
      <c r="F99" s="73">
        <v>20218</v>
      </c>
      <c r="G99" s="73">
        <v>3</v>
      </c>
      <c r="H99" s="73">
        <v>0</v>
      </c>
      <c r="I99" s="73">
        <v>0</v>
      </c>
      <c r="J99" s="73">
        <v>0</v>
      </c>
      <c r="K99" s="118">
        <v>7902</v>
      </c>
      <c r="L99" s="118">
        <v>3198</v>
      </c>
      <c r="M99" s="118">
        <v>7379</v>
      </c>
      <c r="N99" s="73">
        <v>0</v>
      </c>
      <c r="O99" s="73">
        <v>0</v>
      </c>
    </row>
    <row r="100" spans="1:15" x14ac:dyDescent="0.2">
      <c r="A100" s="799"/>
      <c r="B100" s="799"/>
      <c r="C100" s="249" t="s">
        <v>321</v>
      </c>
      <c r="D100" s="250">
        <f>(D95*$A$3)+(D96*$A$4)+(D97*$A$5)</f>
        <v>23.447255074957635</v>
      </c>
      <c r="E100" s="250">
        <f>(E95*$A$3)+(E96*$A$4)+(E97*$A$5)</f>
        <v>34.658762750765653</v>
      </c>
      <c r="F100" s="250">
        <f>(F95*$A$3)+(F96*$A$4)+(F97*$A$5)</f>
        <v>15.928645892911335</v>
      </c>
      <c r="G100" s="250">
        <f>(G95*$A$3)+(G96*$A$4)+(G97*$A$5)</f>
        <v>2.5156779661016952E-3</v>
      </c>
      <c r="H100" s="250">
        <f>H98</f>
        <v>0</v>
      </c>
      <c r="I100" s="250">
        <f>((I95*$A$3)+(I96*$A$4)+(I97*$A$5))/$I$16</f>
        <v>0</v>
      </c>
      <c r="J100" s="251">
        <v>0</v>
      </c>
      <c r="K100" s="250">
        <f>(K95*$A$3)+(K96*$A$4)+(K97*$A$5)</f>
        <v>0.25410846139797011</v>
      </c>
      <c r="L100" s="250">
        <f>(L95*$A$3)+(L96*$A$4)+(L97*$A$5)</f>
        <v>2.6143681513598738</v>
      </c>
      <c r="M100" s="250">
        <f>M98</f>
        <v>0.9256662578055308</v>
      </c>
      <c r="N100" s="250">
        <f>(N95*$A$3)+(N96*$A$4)+(N97*$A$5)</f>
        <v>0</v>
      </c>
      <c r="O100" s="250">
        <f>(O95*$A$3)+(O96*$A$4)+(O97*$A$5)</f>
        <v>0</v>
      </c>
    </row>
    <row r="101" spans="1:15" x14ac:dyDescent="0.2">
      <c r="A101" s="800"/>
      <c r="B101" s="800"/>
      <c r="C101" s="252" t="s">
        <v>322</v>
      </c>
      <c r="D101" s="253">
        <f>D100*$D$5</f>
        <v>0.26729870785451704</v>
      </c>
      <c r="E101" s="253">
        <f>E100*$D$5</f>
        <v>0.39510989535872848</v>
      </c>
      <c r="F101" s="253">
        <f t="shared" ref="F101:I101" si="69">F100*$D$5</f>
        <v>0.18158656317918923</v>
      </c>
      <c r="G101" s="253">
        <f t="shared" si="69"/>
        <v>2.8678728813559327E-5</v>
      </c>
      <c r="H101" s="253">
        <f t="shared" si="69"/>
        <v>0</v>
      </c>
      <c r="I101" s="253">
        <f t="shared" si="69"/>
        <v>0</v>
      </c>
      <c r="J101" s="258">
        <v>0</v>
      </c>
      <c r="K101" s="253">
        <f>K100*$G$5</f>
        <v>7.0642152268635683E-3</v>
      </c>
      <c r="L101" s="253">
        <f>L100*$G$5</f>
        <v>7.2679434607804488E-2</v>
      </c>
      <c r="M101" s="253">
        <f>M100*$G$5</f>
        <v>2.5733521966993755E-2</v>
      </c>
      <c r="N101" s="253">
        <f>N100*$G$5</f>
        <v>0</v>
      </c>
      <c r="O101" s="253">
        <f>O100*$G$5</f>
        <v>0</v>
      </c>
    </row>
    <row r="102" spans="1:15" x14ac:dyDescent="0.2">
      <c r="A102" s="802" t="s">
        <v>327</v>
      </c>
      <c r="B102" s="244" t="s">
        <v>120</v>
      </c>
      <c r="C102" s="245" t="s">
        <v>319</v>
      </c>
      <c r="D102" s="246">
        <f t="shared" ref="D102:N102" si="70">D107+D114</f>
        <v>22354</v>
      </c>
      <c r="E102" s="246">
        <f t="shared" si="70"/>
        <v>86490</v>
      </c>
      <c r="F102" s="246">
        <f t="shared" si="70"/>
        <v>8721</v>
      </c>
      <c r="G102" s="246">
        <f t="shared" si="70"/>
        <v>11535</v>
      </c>
      <c r="H102" s="246">
        <f t="shared" si="70"/>
        <v>17068</v>
      </c>
      <c r="I102" s="246">
        <f>I107+I114</f>
        <v>20823</v>
      </c>
      <c r="J102" s="246">
        <v>0</v>
      </c>
      <c r="K102" s="246">
        <f t="shared" si="70"/>
        <v>6423</v>
      </c>
      <c r="L102" s="246">
        <f t="shared" si="70"/>
        <v>1957</v>
      </c>
      <c r="M102" s="246">
        <f t="shared" si="70"/>
        <v>6239</v>
      </c>
      <c r="N102" s="246">
        <f t="shared" si="70"/>
        <v>1652</v>
      </c>
      <c r="O102" s="246">
        <f>O107+O114</f>
        <v>805</v>
      </c>
    </row>
    <row r="103" spans="1:15" x14ac:dyDescent="0.2">
      <c r="A103" s="803"/>
      <c r="B103" s="805" t="s">
        <v>74</v>
      </c>
      <c r="C103" s="256" t="s">
        <v>261</v>
      </c>
      <c r="D103" s="73">
        <v>0</v>
      </c>
      <c r="E103" s="77">
        <v>1</v>
      </c>
      <c r="F103" s="77">
        <v>1</v>
      </c>
      <c r="G103" s="77">
        <v>0</v>
      </c>
      <c r="H103" s="77">
        <f t="shared" ref="H103:N103" si="71">H107*H$26</f>
        <v>0</v>
      </c>
      <c r="I103" s="77">
        <v>10</v>
      </c>
      <c r="J103" s="77">
        <f t="shared" si="71"/>
        <v>0</v>
      </c>
      <c r="K103" s="77">
        <f t="shared" si="71"/>
        <v>0</v>
      </c>
      <c r="L103" s="77">
        <v>0</v>
      </c>
      <c r="M103" s="77">
        <v>0</v>
      </c>
      <c r="N103" s="77">
        <f t="shared" si="71"/>
        <v>0</v>
      </c>
      <c r="O103" s="77">
        <v>0</v>
      </c>
    </row>
    <row r="104" spans="1:15" x14ac:dyDescent="0.2">
      <c r="A104" s="803"/>
      <c r="B104" s="805"/>
      <c r="C104" s="247" t="s">
        <v>264</v>
      </c>
      <c r="D104" s="73">
        <v>11</v>
      </c>
      <c r="E104" s="77">
        <v>3</v>
      </c>
      <c r="F104" s="77">
        <v>2</v>
      </c>
      <c r="G104" s="77">
        <v>27</v>
      </c>
      <c r="H104" s="77">
        <f t="shared" ref="H104:J104" si="72">H107*H$27</f>
        <v>0</v>
      </c>
      <c r="I104" s="77">
        <v>45</v>
      </c>
      <c r="J104" s="77">
        <f t="shared" si="72"/>
        <v>0</v>
      </c>
      <c r="K104" s="77">
        <v>1</v>
      </c>
      <c r="L104" s="77">
        <v>17</v>
      </c>
      <c r="M104" s="77">
        <v>0</v>
      </c>
      <c r="N104" s="77">
        <v>0</v>
      </c>
      <c r="O104" s="77">
        <v>7</v>
      </c>
    </row>
    <row r="105" spans="1:15" x14ac:dyDescent="0.2">
      <c r="A105" s="803"/>
      <c r="B105" s="805"/>
      <c r="C105" s="247" t="s">
        <v>313</v>
      </c>
      <c r="D105" s="73">
        <v>425</v>
      </c>
      <c r="E105" s="77">
        <v>175</v>
      </c>
      <c r="F105" s="77">
        <v>23</v>
      </c>
      <c r="G105" s="77">
        <v>434</v>
      </c>
      <c r="H105" s="77">
        <f t="shared" ref="H105" si="73">H107*H$28</f>
        <v>0</v>
      </c>
      <c r="I105" s="77">
        <v>100</v>
      </c>
      <c r="J105" s="77">
        <v>0</v>
      </c>
      <c r="K105" s="77">
        <v>0</v>
      </c>
      <c r="L105" s="77">
        <v>0</v>
      </c>
      <c r="M105" s="77">
        <v>0</v>
      </c>
      <c r="N105" s="77">
        <v>0</v>
      </c>
      <c r="O105" s="77">
        <v>3</v>
      </c>
    </row>
    <row r="106" spans="1:15" x14ac:dyDescent="0.2">
      <c r="A106" s="803"/>
      <c r="B106" s="805"/>
      <c r="C106" s="247" t="s">
        <v>314</v>
      </c>
      <c r="D106" s="73">
        <v>157</v>
      </c>
      <c r="E106" s="77">
        <v>73</v>
      </c>
      <c r="F106" s="77">
        <v>6</v>
      </c>
      <c r="G106" s="77">
        <v>234</v>
      </c>
      <c r="H106" s="77">
        <f t="shared" ref="H106" si="74">H107*H$29</f>
        <v>0</v>
      </c>
      <c r="I106" s="77">
        <v>155</v>
      </c>
      <c r="J106" s="77">
        <v>0</v>
      </c>
      <c r="K106" s="77">
        <f>SUM(K103:K105)</f>
        <v>1</v>
      </c>
      <c r="L106" s="77">
        <f>SUM(L103:L105)</f>
        <v>17</v>
      </c>
      <c r="M106" s="77">
        <f>SUM(M103:M105)</f>
        <v>0</v>
      </c>
      <c r="N106" s="77">
        <f>SUM(N103:N105)</f>
        <v>0</v>
      </c>
      <c r="O106" s="77">
        <v>10</v>
      </c>
    </row>
    <row r="107" spans="1:15" x14ac:dyDescent="0.2">
      <c r="A107" s="803"/>
      <c r="B107" s="805"/>
      <c r="C107" t="s">
        <v>320</v>
      </c>
      <c r="D107" s="73">
        <v>9726</v>
      </c>
      <c r="E107" s="73">
        <v>39550</v>
      </c>
      <c r="F107" s="73">
        <v>3830</v>
      </c>
      <c r="G107" s="73">
        <v>11533</v>
      </c>
      <c r="H107" s="73">
        <v>0</v>
      </c>
      <c r="I107" s="73">
        <v>520</v>
      </c>
      <c r="J107" s="73">
        <v>0</v>
      </c>
      <c r="K107" s="73">
        <v>2016</v>
      </c>
      <c r="L107" s="73">
        <v>428</v>
      </c>
      <c r="M107" s="73">
        <v>2014</v>
      </c>
      <c r="N107" s="73">
        <v>1652</v>
      </c>
      <c r="O107" s="73">
        <v>37</v>
      </c>
    </row>
    <row r="108" spans="1:15" x14ac:dyDescent="0.2">
      <c r="A108" s="803"/>
      <c r="B108" s="805"/>
      <c r="C108" s="249" t="s">
        <v>321</v>
      </c>
      <c r="D108" s="250">
        <f>(D103*$A$3)+(D104*$A$4)+(D105*$A$5)</f>
        <v>1.8937999999999997</v>
      </c>
      <c r="E108" s="250">
        <f>(E103*$A$3)+(E104*$A$4)+(E105*$A$5)</f>
        <v>1.1254</v>
      </c>
      <c r="F108" s="250">
        <f>(F103*$A$3)+(F104*$A$4)+(F105*$A$5)</f>
        <v>0.56779999999999997</v>
      </c>
      <c r="G108" s="250">
        <f>(G103*$A$3)+(G104*$A$4)+(G105*$A$5)</f>
        <v>2.5771999999999999</v>
      </c>
      <c r="H108" s="250">
        <f>H106</f>
        <v>0</v>
      </c>
      <c r="I108" s="250">
        <f>((I103*$A$3)+(I104*$A$4)+(I105*$A$5))/$I$16</f>
        <v>1.2512000000000001</v>
      </c>
      <c r="J108" s="251">
        <v>0</v>
      </c>
      <c r="K108" s="250">
        <f>(K103*$A$3)+(K104*$A$4)+(K105*$A$5)</f>
        <v>4.0799999999999996E-2</v>
      </c>
      <c r="L108" s="250">
        <f>(L103*$A$3)+(L104*$A$4)+(L105*$A$5)</f>
        <v>0.69359999999999988</v>
      </c>
      <c r="M108" s="250">
        <f>M106</f>
        <v>0</v>
      </c>
      <c r="N108" s="250">
        <f>(N103*$A$3)+(N104*$A$4)+(N105*$A$5)</f>
        <v>0</v>
      </c>
      <c r="O108" s="250">
        <f>(O103*$A$3)+(O104*$A$4)+(O105*$A$5)</f>
        <v>0.29579999999999995</v>
      </c>
    </row>
    <row r="109" spans="1:15" x14ac:dyDescent="0.2">
      <c r="A109" s="803"/>
      <c r="B109" s="806"/>
      <c r="C109" s="252" t="s">
        <v>322</v>
      </c>
      <c r="D109" s="253">
        <f>D108*$D$3</f>
        <v>5.5109579999999991E-2</v>
      </c>
      <c r="E109" s="253">
        <f t="shared" ref="E109:J109" si="75">E108*$D$3</f>
        <v>3.2749140000000003E-2</v>
      </c>
      <c r="F109" s="253">
        <f t="shared" si="75"/>
        <v>1.652298E-2</v>
      </c>
      <c r="G109" s="253">
        <f t="shared" si="75"/>
        <v>7.4996519999999997E-2</v>
      </c>
      <c r="H109" s="253">
        <f t="shared" si="75"/>
        <v>0</v>
      </c>
      <c r="I109" s="253">
        <f t="shared" si="75"/>
        <v>3.6409920000000005E-2</v>
      </c>
      <c r="J109" s="258">
        <f t="shared" si="75"/>
        <v>0</v>
      </c>
      <c r="K109" s="253">
        <f>K108*$G$6</f>
        <v>3.7699199999999995E-3</v>
      </c>
      <c r="L109" s="253">
        <f>L108*$G$6</f>
        <v>6.4088639999999988E-2</v>
      </c>
      <c r="M109" s="253">
        <f>M108*$G$6</f>
        <v>0</v>
      </c>
      <c r="N109" s="253">
        <f>N108*$G$6</f>
        <v>0</v>
      </c>
      <c r="O109" s="253">
        <f>O108*$G$6</f>
        <v>2.7331919999999996E-2</v>
      </c>
    </row>
    <row r="110" spans="1:15" x14ac:dyDescent="0.2">
      <c r="A110" s="803"/>
      <c r="B110" s="805" t="s">
        <v>76</v>
      </c>
      <c r="C110" s="247" t="s">
        <v>261</v>
      </c>
      <c r="D110" s="73">
        <v>7</v>
      </c>
      <c r="E110" s="77">
        <v>0</v>
      </c>
      <c r="F110" s="77">
        <v>1</v>
      </c>
      <c r="G110" s="77">
        <v>0</v>
      </c>
      <c r="H110" s="77">
        <f t="shared" ref="H110:N110" si="76">H114*H$26</f>
        <v>0</v>
      </c>
      <c r="I110" s="77">
        <v>87</v>
      </c>
      <c r="J110" s="77">
        <f t="shared" si="76"/>
        <v>0</v>
      </c>
      <c r="K110" s="77">
        <f t="shared" si="76"/>
        <v>0</v>
      </c>
      <c r="L110" s="77">
        <v>0</v>
      </c>
      <c r="M110" s="77">
        <v>0</v>
      </c>
      <c r="N110" s="77">
        <f t="shared" si="76"/>
        <v>0</v>
      </c>
      <c r="O110" s="147">
        <v>0</v>
      </c>
    </row>
    <row r="111" spans="1:15" x14ac:dyDescent="0.2">
      <c r="A111" s="803"/>
      <c r="B111" s="805"/>
      <c r="C111" s="247" t="s">
        <v>264</v>
      </c>
      <c r="D111" s="73">
        <v>12</v>
      </c>
      <c r="E111" s="77">
        <v>2</v>
      </c>
      <c r="F111" s="77">
        <v>3</v>
      </c>
      <c r="G111" s="77">
        <v>0</v>
      </c>
      <c r="H111" s="77">
        <v>0</v>
      </c>
      <c r="I111" s="77">
        <v>1314</v>
      </c>
      <c r="J111" s="77">
        <f t="shared" ref="J111:N111" si="77">J114*J$27</f>
        <v>0</v>
      </c>
      <c r="K111" s="77">
        <v>0</v>
      </c>
      <c r="L111" s="77">
        <v>27</v>
      </c>
      <c r="M111" s="77">
        <v>0</v>
      </c>
      <c r="N111" s="77">
        <f t="shared" si="77"/>
        <v>0</v>
      </c>
      <c r="O111" s="147">
        <v>3</v>
      </c>
    </row>
    <row r="112" spans="1:15" x14ac:dyDescent="0.2">
      <c r="A112" s="803"/>
      <c r="B112" s="805"/>
      <c r="C112" s="247" t="s">
        <v>313</v>
      </c>
      <c r="D112" s="73">
        <v>891</v>
      </c>
      <c r="E112" s="77">
        <v>278</v>
      </c>
      <c r="F112" s="77">
        <v>67</v>
      </c>
      <c r="G112" s="77">
        <v>0</v>
      </c>
      <c r="H112" s="77">
        <v>23</v>
      </c>
      <c r="I112" s="77">
        <v>6730</v>
      </c>
      <c r="J112" s="77">
        <v>0</v>
      </c>
      <c r="K112" s="77">
        <v>0</v>
      </c>
      <c r="L112" s="77">
        <v>222</v>
      </c>
      <c r="M112" s="77">
        <v>0</v>
      </c>
      <c r="N112" s="77">
        <f t="shared" ref="N112" si="78">N114*N$28</f>
        <v>0</v>
      </c>
      <c r="O112" s="147">
        <v>49</v>
      </c>
    </row>
    <row r="113" spans="1:15" x14ac:dyDescent="0.2">
      <c r="A113" s="803"/>
      <c r="B113" s="805"/>
      <c r="C113" s="247" t="s">
        <v>314</v>
      </c>
      <c r="D113" s="73">
        <v>305</v>
      </c>
      <c r="E113" s="77">
        <v>162</v>
      </c>
      <c r="F113" s="77">
        <v>14</v>
      </c>
      <c r="G113" s="77">
        <v>0</v>
      </c>
      <c r="H113" s="77">
        <v>22</v>
      </c>
      <c r="I113" s="77">
        <f>I110+I111+I112</f>
        <v>8131</v>
      </c>
      <c r="J113" s="77">
        <v>0</v>
      </c>
      <c r="K113" s="77">
        <f>SUM(K110:K112)</f>
        <v>0</v>
      </c>
      <c r="L113" s="77">
        <f>SUM(L110:L112)</f>
        <v>249</v>
      </c>
      <c r="M113" s="77">
        <f>SUM(M110:M112)</f>
        <v>0</v>
      </c>
      <c r="N113" s="77">
        <f>SUM(N110:N112)</f>
        <v>0</v>
      </c>
      <c r="O113" s="77">
        <v>52</v>
      </c>
    </row>
    <row r="114" spans="1:15" x14ac:dyDescent="0.2">
      <c r="A114" s="803"/>
      <c r="B114" s="805"/>
      <c r="C114" t="s">
        <v>320</v>
      </c>
      <c r="D114" s="73">
        <v>12628</v>
      </c>
      <c r="E114" s="73">
        <v>46940</v>
      </c>
      <c r="F114" s="73">
        <v>4891</v>
      </c>
      <c r="G114" s="73">
        <v>2</v>
      </c>
      <c r="H114" s="73">
        <v>17068</v>
      </c>
      <c r="I114" s="73">
        <v>20303</v>
      </c>
      <c r="J114" s="73">
        <v>10</v>
      </c>
      <c r="K114" s="73">
        <v>4407</v>
      </c>
      <c r="L114" s="73">
        <v>1529</v>
      </c>
      <c r="M114" s="73">
        <v>4225</v>
      </c>
      <c r="N114" s="73">
        <v>0</v>
      </c>
      <c r="O114" s="73">
        <v>768</v>
      </c>
    </row>
    <row r="115" spans="1:15" x14ac:dyDescent="0.2">
      <c r="A115" s="803"/>
      <c r="B115" s="805"/>
      <c r="C115" s="249" t="s">
        <v>321</v>
      </c>
      <c r="D115" s="250">
        <f>(D110*$A$3)+(D111*$A$4)+(D112*$A$5)</f>
        <v>6.375</v>
      </c>
      <c r="E115" s="250">
        <f>(E110*$A$3)+(E111*$A$4)+(E112*$A$5)</f>
        <v>1.0267999999999999</v>
      </c>
      <c r="F115" s="250">
        <f>(F110*$A$3)+(F111*$A$4)+(F112*$A$5)</f>
        <v>0.75819999999999999</v>
      </c>
      <c r="G115" s="250">
        <f>(G110*$A$3)+(G111*$A$4)+(G112*$A$5)</f>
        <v>0</v>
      </c>
      <c r="H115" s="250">
        <f>H113</f>
        <v>22</v>
      </c>
      <c r="I115" s="250">
        <f>I113*A5</f>
        <v>27.645399999999999</v>
      </c>
      <c r="J115" s="251">
        <f>((J110*$A$3)+(J111*$A$4)+(J112*$A$5))</f>
        <v>0</v>
      </c>
      <c r="K115" s="250">
        <f>(K110*$A$3)+(K111*$A$4)+(K112*$A$5)</f>
        <v>0</v>
      </c>
      <c r="L115" s="250">
        <f>(L110*$A$3)+(L111*$A$4)+(L112*$A$5)</f>
        <v>1.8563999999999998</v>
      </c>
      <c r="M115" s="250">
        <f>M113</f>
        <v>0</v>
      </c>
      <c r="N115" s="250">
        <f>(N110*$A$3)+(N111*$A$4)+(N112*$A$5)</f>
        <v>0</v>
      </c>
      <c r="O115" s="250">
        <f>(O110*$A$3)+(O111*$A$4)+(O112*$A$5)</f>
        <v>0.28899999999999998</v>
      </c>
    </row>
    <row r="116" spans="1:15" x14ac:dyDescent="0.2">
      <c r="A116" s="803"/>
      <c r="B116" s="806"/>
      <c r="C116" s="252" t="s">
        <v>322</v>
      </c>
      <c r="D116" s="253">
        <f t="shared" ref="D116:J116" si="79">D115*$D$4</f>
        <v>0.1625625</v>
      </c>
      <c r="E116" s="253">
        <f t="shared" si="79"/>
        <v>2.6183399999999996E-2</v>
      </c>
      <c r="F116" s="253">
        <f t="shared" si="79"/>
        <v>1.93341E-2</v>
      </c>
      <c r="G116" s="258">
        <f t="shared" si="79"/>
        <v>0</v>
      </c>
      <c r="H116" s="253">
        <f t="shared" si="79"/>
        <v>0.56099999999999994</v>
      </c>
      <c r="I116" s="253">
        <f t="shared" si="79"/>
        <v>0.70495769999999991</v>
      </c>
      <c r="J116" s="258">
        <f t="shared" si="79"/>
        <v>0</v>
      </c>
      <c r="K116" s="253">
        <f>K115*$G$6</f>
        <v>0</v>
      </c>
      <c r="L116" s="253">
        <f>L115*$G$6</f>
        <v>0.17153135999999997</v>
      </c>
      <c r="M116" s="253">
        <f>M115*$G$6</f>
        <v>0</v>
      </c>
      <c r="N116" s="253">
        <f>N115*$G$6</f>
        <v>0</v>
      </c>
      <c r="O116" s="253">
        <f>O115*$G$6</f>
        <v>2.6703599999999997E-2</v>
      </c>
    </row>
    <row r="117" spans="1:15" x14ac:dyDescent="0.2">
      <c r="A117" s="803"/>
      <c r="B117" s="805" t="s">
        <v>114</v>
      </c>
      <c r="C117" s="247" t="s">
        <v>261</v>
      </c>
      <c r="D117" s="73">
        <v>18</v>
      </c>
      <c r="E117" s="147">
        <v>10</v>
      </c>
      <c r="F117" s="147">
        <v>1</v>
      </c>
      <c r="G117" s="147">
        <v>0</v>
      </c>
      <c r="H117" s="147">
        <f t="shared" ref="H117:N117" si="80">H121*H$26</f>
        <v>0</v>
      </c>
      <c r="I117" s="147">
        <f t="shared" si="80"/>
        <v>0</v>
      </c>
      <c r="J117" s="147">
        <f t="shared" si="80"/>
        <v>0</v>
      </c>
      <c r="K117" s="147">
        <f t="shared" si="80"/>
        <v>0</v>
      </c>
      <c r="L117" s="147">
        <v>0</v>
      </c>
      <c r="M117" s="147">
        <f t="shared" si="80"/>
        <v>0</v>
      </c>
      <c r="N117" s="147">
        <f t="shared" si="80"/>
        <v>0</v>
      </c>
      <c r="O117">
        <v>0</v>
      </c>
    </row>
    <row r="118" spans="1:15" x14ac:dyDescent="0.2">
      <c r="A118" s="803"/>
      <c r="B118" s="805"/>
      <c r="C118" s="247" t="s">
        <v>264</v>
      </c>
      <c r="D118" s="73">
        <v>30</v>
      </c>
      <c r="E118" s="147">
        <v>21</v>
      </c>
      <c r="F118" s="147">
        <v>18</v>
      </c>
      <c r="G118" s="147">
        <v>0</v>
      </c>
      <c r="H118" s="147">
        <f t="shared" ref="H118:N118" si="81">H121*H$27</f>
        <v>0</v>
      </c>
      <c r="I118" s="147">
        <f t="shared" si="81"/>
        <v>0</v>
      </c>
      <c r="J118" s="147">
        <f t="shared" si="81"/>
        <v>0</v>
      </c>
      <c r="K118" s="147">
        <v>2</v>
      </c>
      <c r="L118" s="147">
        <v>42</v>
      </c>
      <c r="M118" s="147">
        <v>0</v>
      </c>
      <c r="N118" s="147">
        <f t="shared" si="81"/>
        <v>0</v>
      </c>
      <c r="O118">
        <v>0</v>
      </c>
    </row>
    <row r="119" spans="1:15" x14ac:dyDescent="0.2">
      <c r="A119" s="803"/>
      <c r="B119" s="805"/>
      <c r="C119" s="247" t="s">
        <v>313</v>
      </c>
      <c r="D119" s="73">
        <v>2418</v>
      </c>
      <c r="E119" s="147">
        <v>850</v>
      </c>
      <c r="F119" s="147">
        <v>133</v>
      </c>
      <c r="G119" s="147">
        <v>0</v>
      </c>
      <c r="H119" s="147">
        <f t="shared" ref="H119:N119" si="82">H121*H$28</f>
        <v>0</v>
      </c>
      <c r="I119" s="147">
        <f t="shared" si="82"/>
        <v>0</v>
      </c>
      <c r="J119" s="147">
        <v>0</v>
      </c>
      <c r="K119" s="147">
        <v>0</v>
      </c>
      <c r="L119" s="147">
        <v>511</v>
      </c>
      <c r="M119" s="147">
        <v>0</v>
      </c>
      <c r="N119" s="147">
        <f t="shared" si="82"/>
        <v>0</v>
      </c>
      <c r="O119">
        <v>0</v>
      </c>
    </row>
    <row r="120" spans="1:15" x14ac:dyDescent="0.2">
      <c r="A120" s="803"/>
      <c r="B120" s="805"/>
      <c r="C120" s="247" t="s">
        <v>314</v>
      </c>
      <c r="D120" s="73">
        <v>1149</v>
      </c>
      <c r="E120" s="147">
        <v>561</v>
      </c>
      <c r="F120" s="147">
        <v>49</v>
      </c>
      <c r="G120" s="147">
        <v>0</v>
      </c>
      <c r="H120" s="147">
        <f t="shared" ref="H120:I120" si="83">H121*H$29</f>
        <v>0</v>
      </c>
      <c r="I120" s="147">
        <f t="shared" si="83"/>
        <v>0</v>
      </c>
      <c r="J120" s="147">
        <v>0</v>
      </c>
      <c r="K120" s="77">
        <f>SUM(K117:K119)</f>
        <v>2</v>
      </c>
      <c r="L120" s="77">
        <f>SUM(L117:L119)</f>
        <v>553</v>
      </c>
      <c r="M120" s="77">
        <f>SUM(M117:M119)</f>
        <v>0</v>
      </c>
      <c r="N120" s="77">
        <f>SUM(N117:N119)</f>
        <v>0</v>
      </c>
      <c r="O120">
        <v>0</v>
      </c>
    </row>
    <row r="121" spans="1:15" x14ac:dyDescent="0.2">
      <c r="A121" s="803"/>
      <c r="B121" s="805"/>
      <c r="C121" t="s">
        <v>320</v>
      </c>
      <c r="D121" s="73">
        <v>23060</v>
      </c>
      <c r="E121" s="73">
        <v>136706</v>
      </c>
      <c r="F121" s="73">
        <v>12292</v>
      </c>
      <c r="G121" s="73">
        <v>0</v>
      </c>
      <c r="H121" s="73">
        <v>0</v>
      </c>
      <c r="I121" s="73">
        <v>0</v>
      </c>
      <c r="J121" s="73">
        <v>0</v>
      </c>
      <c r="K121" s="118">
        <v>7902</v>
      </c>
      <c r="L121" s="118">
        <v>3994</v>
      </c>
      <c r="M121" s="118">
        <v>7379</v>
      </c>
      <c r="N121" s="73">
        <v>0</v>
      </c>
      <c r="O121">
        <v>0</v>
      </c>
    </row>
    <row r="122" spans="1:15" x14ac:dyDescent="0.2">
      <c r="A122" s="803"/>
      <c r="B122" s="805"/>
      <c r="C122" s="249" t="s">
        <v>321</v>
      </c>
      <c r="D122" s="250">
        <f>(D117*$A$3)+(D118*$A$4)+(D119*$A$5)</f>
        <v>16.789200000000001</v>
      </c>
      <c r="E122" s="250">
        <f>(E117*$A$3)+(E118*$A$4)+(E119*$A$5)</f>
        <v>7.8267999999999995</v>
      </c>
      <c r="F122" s="250">
        <f>(F117*$A$3)+(F118*$A$4)+(F119*$A$5)</f>
        <v>1.5945999999999998</v>
      </c>
      <c r="G122" s="250">
        <f>(G117*$A$3)+(G118*$A$4)+(G119*$A$5)</f>
        <v>0</v>
      </c>
      <c r="H122" s="250">
        <f>H120</f>
        <v>0</v>
      </c>
      <c r="I122" s="250">
        <f>((I117*$A$3)+(I118*$A$4)+(I119*$A$5))/$I$16</f>
        <v>0</v>
      </c>
      <c r="J122" s="251">
        <f>((J117*$A$3)+(J118*$A$4)+(J119*$A$5))</f>
        <v>0</v>
      </c>
      <c r="K122" s="250">
        <f>(K117*$A$3)+(K118*$A$4)+(K119*$A$5)</f>
        <v>8.1599999999999992E-2</v>
      </c>
      <c r="L122" s="250">
        <f>(L117*$A$3)+(L118*$A$4)+(L119*$A$5)</f>
        <v>3.4509999999999996</v>
      </c>
      <c r="M122" s="250">
        <f>M120</f>
        <v>0</v>
      </c>
      <c r="N122" s="250">
        <f>(N117*$A$3)+(N118*$A$4)+(N119*$A$5)</f>
        <v>0</v>
      </c>
      <c r="O122" s="250">
        <f>(O110*$A$3)+(O111*$A$4)+(O112*$A$5)</f>
        <v>0.28899999999999998</v>
      </c>
    </row>
    <row r="123" spans="1:15" x14ac:dyDescent="0.2">
      <c r="A123" s="804"/>
      <c r="B123" s="806"/>
      <c r="C123" s="252" t="s">
        <v>322</v>
      </c>
      <c r="D123" s="253">
        <f t="shared" ref="D123:J123" si="84">D122*$D$5</f>
        <v>0.19139688000000002</v>
      </c>
      <c r="E123" s="253">
        <f t="shared" si="84"/>
        <v>8.9225520000000003E-2</v>
      </c>
      <c r="F123" s="253">
        <f t="shared" si="84"/>
        <v>1.8178439999999997E-2</v>
      </c>
      <c r="G123" s="253">
        <f t="shared" si="84"/>
        <v>0</v>
      </c>
      <c r="H123" s="253">
        <f t="shared" si="84"/>
        <v>0</v>
      </c>
      <c r="I123" s="253">
        <f t="shared" si="84"/>
        <v>0</v>
      </c>
      <c r="J123" s="258">
        <f t="shared" si="84"/>
        <v>0</v>
      </c>
      <c r="K123" s="253">
        <f>K122*$G$5</f>
        <v>2.2684799999999998E-3</v>
      </c>
      <c r="L123" s="253">
        <f>L122*$G$5</f>
        <v>9.593779999999999E-2</v>
      </c>
      <c r="M123" s="253">
        <f>M122*$G$5</f>
        <v>0</v>
      </c>
      <c r="N123" s="253">
        <f>N122*$G$5</f>
        <v>0</v>
      </c>
      <c r="O123" s="253">
        <f>O122*$G$5</f>
        <v>8.0341999999999983E-3</v>
      </c>
    </row>
    <row r="124" spans="1:15" x14ac:dyDescent="0.2">
      <c r="A124" s="802" t="s">
        <v>328</v>
      </c>
      <c r="B124" s="244" t="s">
        <v>120</v>
      </c>
      <c r="C124" s="245" t="s">
        <v>319</v>
      </c>
      <c r="D124" s="246">
        <f t="shared" ref="D124:N124" si="85">D129+D136</f>
        <v>17932</v>
      </c>
      <c r="E124" s="246">
        <f t="shared" si="85"/>
        <v>86122</v>
      </c>
      <c r="F124" s="246">
        <f t="shared" si="85"/>
        <v>15698</v>
      </c>
      <c r="G124" s="246">
        <f t="shared" si="85"/>
        <v>11012</v>
      </c>
      <c r="H124" s="246">
        <f t="shared" si="85"/>
        <v>13077</v>
      </c>
      <c r="I124" s="246">
        <f t="shared" si="85"/>
        <v>26787</v>
      </c>
      <c r="J124" s="246">
        <f t="shared" si="85"/>
        <v>2</v>
      </c>
      <c r="K124" s="246">
        <f t="shared" si="85"/>
        <v>6940</v>
      </c>
      <c r="L124" s="246">
        <f t="shared" si="85"/>
        <v>2679</v>
      </c>
      <c r="M124" s="246">
        <f t="shared" si="85"/>
        <v>6481</v>
      </c>
      <c r="N124" s="246">
        <f t="shared" si="85"/>
        <v>1957</v>
      </c>
      <c r="O124" s="246">
        <f>O129+O136</f>
        <v>1415</v>
      </c>
    </row>
    <row r="125" spans="1:15" x14ac:dyDescent="0.2">
      <c r="A125" s="803"/>
      <c r="B125" s="805" t="s">
        <v>74</v>
      </c>
      <c r="C125" t="s">
        <v>261</v>
      </c>
      <c r="D125" s="259">
        <v>4</v>
      </c>
      <c r="E125" s="259">
        <v>1</v>
      </c>
      <c r="F125" s="259">
        <v>5</v>
      </c>
      <c r="G125" s="259">
        <v>1</v>
      </c>
      <c r="H125" s="259">
        <v>0</v>
      </c>
      <c r="I125" s="236">
        <v>90</v>
      </c>
      <c r="J125" s="259">
        <v>0</v>
      </c>
      <c r="K125" s="259">
        <v>0</v>
      </c>
      <c r="L125" s="259">
        <v>0</v>
      </c>
      <c r="M125" s="259">
        <v>0</v>
      </c>
      <c r="N125" s="259">
        <v>0</v>
      </c>
      <c r="O125" s="496">
        <v>1</v>
      </c>
    </row>
    <row r="126" spans="1:15" x14ac:dyDescent="0.2">
      <c r="A126" s="803"/>
      <c r="B126" s="805"/>
      <c r="C126" t="s">
        <v>264</v>
      </c>
      <c r="D126" s="259">
        <v>18</v>
      </c>
      <c r="E126" s="259">
        <v>0</v>
      </c>
      <c r="F126" s="259">
        <v>10</v>
      </c>
      <c r="G126" s="259">
        <v>59</v>
      </c>
      <c r="H126" s="259">
        <v>2</v>
      </c>
      <c r="I126" s="236">
        <v>1476</v>
      </c>
      <c r="J126" s="259">
        <v>0</v>
      </c>
      <c r="K126" s="259">
        <v>0</v>
      </c>
      <c r="L126" s="259">
        <v>33</v>
      </c>
      <c r="M126" s="259">
        <v>0</v>
      </c>
      <c r="N126" s="259">
        <v>1</v>
      </c>
      <c r="O126" s="496">
        <v>0</v>
      </c>
    </row>
    <row r="127" spans="1:15" x14ac:dyDescent="0.2">
      <c r="A127" s="803"/>
      <c r="B127" s="805"/>
      <c r="C127" t="s">
        <v>313</v>
      </c>
      <c r="D127" s="259">
        <v>155</v>
      </c>
      <c r="E127" s="259">
        <v>0</v>
      </c>
      <c r="F127" s="259">
        <v>16</v>
      </c>
      <c r="G127" s="259">
        <v>192</v>
      </c>
      <c r="H127" s="259">
        <v>0</v>
      </c>
      <c r="I127" s="236">
        <v>6572</v>
      </c>
      <c r="J127" s="259">
        <v>0</v>
      </c>
      <c r="K127" s="259">
        <v>0</v>
      </c>
      <c r="L127" s="259">
        <v>6</v>
      </c>
      <c r="M127" s="259">
        <v>0</v>
      </c>
      <c r="N127" s="259">
        <v>0</v>
      </c>
      <c r="O127" s="496">
        <v>24</v>
      </c>
    </row>
    <row r="128" spans="1:15" x14ac:dyDescent="0.2">
      <c r="A128" s="803"/>
      <c r="B128" s="805"/>
      <c r="C128" t="s">
        <v>314</v>
      </c>
      <c r="D128" s="259">
        <v>177</v>
      </c>
      <c r="E128" s="259">
        <v>1</v>
      </c>
      <c r="F128" s="259">
        <v>31</v>
      </c>
      <c r="G128" s="259">
        <v>252</v>
      </c>
      <c r="H128" s="259">
        <f t="shared" ref="H128:N128" si="86">H125+H126+H127</f>
        <v>2</v>
      </c>
      <c r="I128" s="236">
        <f>I125+I126+I127</f>
        <v>8138</v>
      </c>
      <c r="J128" s="259">
        <f t="shared" si="86"/>
        <v>0</v>
      </c>
      <c r="K128" s="259">
        <f t="shared" si="86"/>
        <v>0</v>
      </c>
      <c r="L128" s="259">
        <f t="shared" si="86"/>
        <v>39</v>
      </c>
      <c r="M128" s="259">
        <f t="shared" si="86"/>
        <v>0</v>
      </c>
      <c r="N128" s="259">
        <f t="shared" si="86"/>
        <v>1</v>
      </c>
      <c r="O128" s="496">
        <v>25</v>
      </c>
    </row>
    <row r="129" spans="1:15" x14ac:dyDescent="0.2">
      <c r="A129" s="803"/>
      <c r="B129" s="805"/>
      <c r="C129" t="s">
        <v>317</v>
      </c>
      <c r="D129" s="259">
        <v>9055</v>
      </c>
      <c r="E129" s="259">
        <v>39371</v>
      </c>
      <c r="F129" s="259">
        <v>10368</v>
      </c>
      <c r="G129" s="259">
        <v>10993</v>
      </c>
      <c r="H129" s="259">
        <v>13077</v>
      </c>
      <c r="I129" s="200">
        <v>26787</v>
      </c>
      <c r="J129" s="259">
        <v>0</v>
      </c>
      <c r="K129" s="259">
        <v>2380</v>
      </c>
      <c r="L129" s="259">
        <v>1191</v>
      </c>
      <c r="M129" s="259">
        <v>2123</v>
      </c>
      <c r="N129" s="259">
        <v>1957</v>
      </c>
      <c r="O129" s="496">
        <v>1415</v>
      </c>
    </row>
    <row r="130" spans="1:15" x14ac:dyDescent="0.2">
      <c r="A130" s="803"/>
      <c r="B130" s="805"/>
      <c r="C130" s="42" t="s">
        <v>329</v>
      </c>
      <c r="D130" s="250">
        <f>(D125*$A$3)+(D126*$A$4)+(D127*$A$5)</f>
        <v>2.8933999999999997</v>
      </c>
      <c r="E130" s="250">
        <f>(E125*$A$3)+(E126*$A$4)+(E127*$A$5)</f>
        <v>0.40799999999999997</v>
      </c>
      <c r="F130" s="250">
        <f>(F125*$A$3)+(F126*$A$4)+(F127*$A$5)</f>
        <v>2.5023999999999997</v>
      </c>
      <c r="G130" s="250">
        <f>(G125*$A$3)+(G126*$A$4)+(G127*$A$5)</f>
        <v>3.4679999999999995</v>
      </c>
      <c r="H130" s="250">
        <f>H128</f>
        <v>2</v>
      </c>
      <c r="I130" s="250">
        <f>I128*$A$5</f>
        <v>27.6692</v>
      </c>
      <c r="J130" s="251">
        <f>((J125*$A$3)+(J126*$A$4)+(J127*$A$5))</f>
        <v>0</v>
      </c>
      <c r="K130" s="250">
        <f>(K125*$A$3)+(K126*$A$4)+(K127*$A$5)</f>
        <v>0</v>
      </c>
      <c r="L130" s="250">
        <f>(L125*$A$3)+(L126*$A$4)+(L127*$A$5)</f>
        <v>1.3667999999999998</v>
      </c>
      <c r="M130" s="250">
        <f>(M125*$A$3)+(M126*$A$4)+(M127*$A$5)</f>
        <v>0</v>
      </c>
      <c r="N130" s="250">
        <f>(N125*$A$3)+(N126*$A$4)+(N127*$A$5)</f>
        <v>4.0799999999999996E-2</v>
      </c>
      <c r="O130" s="250">
        <f>(O125*$A$3)+(O126*$A$4)+(O127*$A$5)</f>
        <v>0.48959999999999998</v>
      </c>
    </row>
    <row r="131" spans="1:15" x14ac:dyDescent="0.2">
      <c r="A131" s="803"/>
      <c r="B131" s="806"/>
      <c r="C131" s="235" t="s">
        <v>330</v>
      </c>
      <c r="D131" s="253">
        <f t="shared" ref="D131:J131" si="87">D130*$D$3</f>
        <v>8.4197939999999999E-2</v>
      </c>
      <c r="E131" s="253">
        <f t="shared" si="87"/>
        <v>1.1872799999999999E-2</v>
      </c>
      <c r="F131" s="253">
        <f t="shared" si="87"/>
        <v>7.2819839999999997E-2</v>
      </c>
      <c r="G131" s="253">
        <f t="shared" si="87"/>
        <v>0.10091879999999999</v>
      </c>
      <c r="H131" s="253">
        <f t="shared" si="87"/>
        <v>5.8200000000000002E-2</v>
      </c>
      <c r="I131" s="253">
        <f>I130*$D$3</f>
        <v>0.80517371999999998</v>
      </c>
      <c r="J131" s="258">
        <f t="shared" si="87"/>
        <v>0</v>
      </c>
      <c r="K131" s="253">
        <f>K130*$G$6</f>
        <v>0</v>
      </c>
      <c r="L131" s="253">
        <f>L130*$G$6</f>
        <v>0.12629231999999999</v>
      </c>
      <c r="M131" s="253">
        <f>M130*$G$6</f>
        <v>0</v>
      </c>
      <c r="N131" s="253">
        <f>N130*$G$6</f>
        <v>3.7699199999999995E-3</v>
      </c>
      <c r="O131" s="253">
        <f>O130*$G$6</f>
        <v>4.5239039999999994E-2</v>
      </c>
    </row>
    <row r="132" spans="1:15" x14ac:dyDescent="0.2">
      <c r="A132" s="803"/>
      <c r="B132" s="807" t="s">
        <v>76</v>
      </c>
      <c r="C132" s="260" t="s">
        <v>261</v>
      </c>
      <c r="D132" s="261">
        <v>14</v>
      </c>
      <c r="E132" s="261">
        <v>10</v>
      </c>
      <c r="F132" s="261">
        <v>2</v>
      </c>
      <c r="G132" s="261">
        <v>0</v>
      </c>
      <c r="H132" s="261">
        <v>0</v>
      </c>
      <c r="I132" s="261">
        <v>0</v>
      </c>
      <c r="J132" s="261">
        <v>0</v>
      </c>
      <c r="K132" s="261">
        <v>0</v>
      </c>
      <c r="L132" s="261">
        <v>0</v>
      </c>
      <c r="M132" s="261">
        <v>0</v>
      </c>
      <c r="N132" s="261">
        <v>0</v>
      </c>
      <c r="O132" s="261"/>
    </row>
    <row r="133" spans="1:15" x14ac:dyDescent="0.2">
      <c r="A133" s="803"/>
      <c r="B133" s="805"/>
      <c r="C133" t="s">
        <v>264</v>
      </c>
      <c r="D133" s="259">
        <v>15</v>
      </c>
      <c r="E133" s="259">
        <v>7</v>
      </c>
      <c r="F133" s="259">
        <v>5</v>
      </c>
      <c r="G133" s="259">
        <v>0</v>
      </c>
      <c r="H133" s="259">
        <v>0</v>
      </c>
      <c r="I133" s="259">
        <v>0</v>
      </c>
      <c r="J133" s="259">
        <v>0</v>
      </c>
      <c r="K133" s="259">
        <v>0</v>
      </c>
      <c r="L133" s="259">
        <v>41</v>
      </c>
      <c r="M133" s="259">
        <v>0</v>
      </c>
      <c r="N133" s="259">
        <v>0</v>
      </c>
      <c r="O133" s="259"/>
    </row>
    <row r="134" spans="1:15" x14ac:dyDescent="0.2">
      <c r="A134" s="803"/>
      <c r="B134" s="805"/>
      <c r="C134" t="s">
        <v>313</v>
      </c>
      <c r="D134" s="259">
        <v>333</v>
      </c>
      <c r="E134" s="259">
        <v>4</v>
      </c>
      <c r="F134" s="259">
        <v>7</v>
      </c>
      <c r="G134" s="259">
        <v>1</v>
      </c>
      <c r="H134" s="259">
        <v>0</v>
      </c>
      <c r="I134" s="259">
        <v>0</v>
      </c>
      <c r="J134" s="259">
        <v>2</v>
      </c>
      <c r="K134" s="259">
        <v>0</v>
      </c>
      <c r="L134" s="259">
        <v>242</v>
      </c>
      <c r="M134" s="259">
        <v>0</v>
      </c>
      <c r="N134" s="259">
        <v>0</v>
      </c>
      <c r="O134" s="259"/>
    </row>
    <row r="135" spans="1:15" x14ac:dyDescent="0.2">
      <c r="A135" s="803"/>
      <c r="B135" s="805"/>
      <c r="C135" t="s">
        <v>314</v>
      </c>
      <c r="D135" s="259">
        <v>362</v>
      </c>
      <c r="E135" s="259">
        <v>21</v>
      </c>
      <c r="F135" s="259">
        <v>14</v>
      </c>
      <c r="G135" s="259">
        <v>1</v>
      </c>
      <c r="H135" s="259">
        <f t="shared" ref="H135:N135" si="88">H132+H133+H134</f>
        <v>0</v>
      </c>
      <c r="I135" s="259">
        <f t="shared" si="88"/>
        <v>0</v>
      </c>
      <c r="J135" s="259">
        <f t="shared" si="88"/>
        <v>2</v>
      </c>
      <c r="K135" s="259">
        <f t="shared" si="88"/>
        <v>0</v>
      </c>
      <c r="L135" s="259">
        <f t="shared" si="88"/>
        <v>283</v>
      </c>
      <c r="M135" s="259">
        <f t="shared" si="88"/>
        <v>0</v>
      </c>
      <c r="N135" s="259">
        <f t="shared" si="88"/>
        <v>0</v>
      </c>
      <c r="O135" s="259"/>
    </row>
    <row r="136" spans="1:15" x14ac:dyDescent="0.2">
      <c r="A136" s="803"/>
      <c r="B136" s="805"/>
      <c r="C136" t="s">
        <v>317</v>
      </c>
      <c r="D136" s="259">
        <v>8877</v>
      </c>
      <c r="E136" s="259">
        <v>46751</v>
      </c>
      <c r="F136" s="259">
        <v>5330</v>
      </c>
      <c r="G136" s="259">
        <v>19</v>
      </c>
      <c r="H136" s="259">
        <v>0</v>
      </c>
      <c r="I136" s="259">
        <v>0</v>
      </c>
      <c r="J136" s="259">
        <v>2</v>
      </c>
      <c r="K136" s="259">
        <v>4560</v>
      </c>
      <c r="L136" s="259">
        <v>1488</v>
      </c>
      <c r="M136" s="259">
        <v>4358</v>
      </c>
      <c r="N136" s="259">
        <v>0</v>
      </c>
      <c r="O136" s="259"/>
    </row>
    <row r="137" spans="1:15" x14ac:dyDescent="0.2">
      <c r="A137" s="803"/>
      <c r="B137" s="805"/>
      <c r="C137" s="42" t="s">
        <v>329</v>
      </c>
      <c r="D137" s="250">
        <f>(D132*$A$3)+(D133*$A$4)+(D134*$A$5)</f>
        <v>7.4561999999999999</v>
      </c>
      <c r="E137" s="250">
        <f>(E132*$A$3)+(E133*$A$4)+(E134*$A$5)</f>
        <v>4.3792</v>
      </c>
      <c r="F137" s="250">
        <f>(F132*$A$3)+(F133*$A$4)+(F134*$A$5)</f>
        <v>1.0438000000000001</v>
      </c>
      <c r="G137" s="250">
        <f>(G132*$A$3)+(G133*$A$4)+(G134*$A$5)</f>
        <v>3.3999999999999998E-3</v>
      </c>
      <c r="H137" s="250">
        <f>H135</f>
        <v>0</v>
      </c>
      <c r="I137" s="250">
        <f>((I132*$A$3)+(I133*$A$4)+(I134*$A$5))/$I$16</f>
        <v>0</v>
      </c>
      <c r="J137" s="251">
        <f>((J132*$A$3)+(J133*$A$4)+(J134*$A$5))</f>
        <v>6.7999999999999996E-3</v>
      </c>
      <c r="K137" s="250">
        <f>(K132*$A$3)+(K133*$A$4)+(K134*$A$5)</f>
        <v>0</v>
      </c>
      <c r="L137" s="250">
        <f>(L132*$A$3)+(L133*$A$4)+(L134*$A$5)</f>
        <v>2.4955999999999996</v>
      </c>
      <c r="M137" s="250">
        <f>(M132*$A$3)+(M133*$A$4)+(M134*$A$5)</f>
        <v>0</v>
      </c>
      <c r="N137" s="250">
        <f>(N132*$A$3)+(N133*$A$4)+(N134*$A$5)</f>
        <v>0</v>
      </c>
      <c r="O137" s="250"/>
    </row>
    <row r="138" spans="1:15" x14ac:dyDescent="0.2">
      <c r="A138" s="803"/>
      <c r="B138" s="806"/>
      <c r="C138" s="235" t="s">
        <v>330</v>
      </c>
      <c r="D138" s="253">
        <f t="shared" ref="D138:J138" si="89">D137*$D$4</f>
        <v>0.1901331</v>
      </c>
      <c r="E138" s="253">
        <f t="shared" si="89"/>
        <v>0.11166959999999999</v>
      </c>
      <c r="F138" s="253">
        <f t="shared" si="89"/>
        <v>2.6616899999999999E-2</v>
      </c>
      <c r="G138" s="258">
        <f t="shared" si="89"/>
        <v>8.6699999999999993E-5</v>
      </c>
      <c r="H138" s="253">
        <f t="shared" si="89"/>
        <v>0</v>
      </c>
      <c r="I138" s="253">
        <f t="shared" si="89"/>
        <v>0</v>
      </c>
      <c r="J138" s="258">
        <f t="shared" si="89"/>
        <v>1.7339999999999999E-4</v>
      </c>
      <c r="K138" s="253">
        <f>K137*$G$6</f>
        <v>0</v>
      </c>
      <c r="L138" s="253">
        <f>L137*$G$6</f>
        <v>0.23059343999999996</v>
      </c>
      <c r="M138" s="253">
        <f>M137*$G$6</f>
        <v>0</v>
      </c>
      <c r="N138" s="253">
        <f>N137*$G$6</f>
        <v>0</v>
      </c>
      <c r="O138" s="253"/>
    </row>
    <row r="139" spans="1:15" ht="15" customHeight="1" x14ac:dyDescent="0.2">
      <c r="A139" s="803"/>
      <c r="B139" s="807" t="s">
        <v>114</v>
      </c>
      <c r="C139" s="260" t="s">
        <v>261</v>
      </c>
      <c r="D139" s="261">
        <v>12</v>
      </c>
      <c r="E139" s="261">
        <v>38</v>
      </c>
      <c r="F139" s="261">
        <v>15</v>
      </c>
      <c r="G139" s="261">
        <v>0</v>
      </c>
      <c r="H139" s="261">
        <v>0</v>
      </c>
      <c r="I139" s="261">
        <v>0</v>
      </c>
      <c r="J139" s="261">
        <v>0</v>
      </c>
      <c r="K139" s="261">
        <v>0</v>
      </c>
      <c r="L139" s="261">
        <v>0</v>
      </c>
      <c r="M139" s="261">
        <v>0</v>
      </c>
      <c r="N139" s="261">
        <v>0</v>
      </c>
      <c r="O139" s="261"/>
    </row>
    <row r="140" spans="1:15" x14ac:dyDescent="0.2">
      <c r="A140" s="803"/>
      <c r="B140" s="805"/>
      <c r="C140" t="s">
        <v>264</v>
      </c>
      <c r="D140" s="259">
        <v>35</v>
      </c>
      <c r="E140" s="259">
        <v>81</v>
      </c>
      <c r="F140" s="259">
        <v>30</v>
      </c>
      <c r="G140" s="259">
        <v>3</v>
      </c>
      <c r="H140" s="259">
        <v>0</v>
      </c>
      <c r="I140" s="259">
        <v>0</v>
      </c>
      <c r="J140" s="259">
        <v>0</v>
      </c>
      <c r="K140" s="259">
        <v>0</v>
      </c>
      <c r="L140" s="259">
        <v>30</v>
      </c>
      <c r="M140" s="259">
        <v>0</v>
      </c>
      <c r="N140" s="259">
        <v>0</v>
      </c>
      <c r="O140" s="259"/>
    </row>
    <row r="141" spans="1:15" x14ac:dyDescent="0.2">
      <c r="A141" s="803"/>
      <c r="B141" s="805"/>
      <c r="C141" t="s">
        <v>313</v>
      </c>
      <c r="D141" s="259">
        <v>921</v>
      </c>
      <c r="E141" s="259">
        <v>755</v>
      </c>
      <c r="F141" s="259">
        <v>19</v>
      </c>
      <c r="G141" s="259">
        <v>0</v>
      </c>
      <c r="H141" s="259">
        <v>0</v>
      </c>
      <c r="I141" s="259">
        <v>0</v>
      </c>
      <c r="J141" s="259">
        <v>0</v>
      </c>
      <c r="K141" s="259">
        <v>0</v>
      </c>
      <c r="L141" s="259">
        <v>301</v>
      </c>
      <c r="M141" s="259">
        <v>0</v>
      </c>
      <c r="N141" s="259">
        <v>0</v>
      </c>
      <c r="O141" s="259"/>
    </row>
    <row r="142" spans="1:15" x14ac:dyDescent="0.2">
      <c r="A142" s="803"/>
      <c r="B142" s="805"/>
      <c r="C142" t="s">
        <v>314</v>
      </c>
      <c r="D142" s="259">
        <v>968</v>
      </c>
      <c r="E142" s="259">
        <v>874</v>
      </c>
      <c r="F142" s="259">
        <v>64</v>
      </c>
      <c r="G142" s="259">
        <v>3</v>
      </c>
      <c r="H142" s="259">
        <f>H139+H140+H141</f>
        <v>0</v>
      </c>
      <c r="I142" s="259">
        <f>I139+I140+I141</f>
        <v>0</v>
      </c>
      <c r="J142" s="259">
        <v>0</v>
      </c>
      <c r="K142" s="259">
        <f>K139+K140+K141</f>
        <v>0</v>
      </c>
      <c r="L142" s="259">
        <f>L139+L140+L141</f>
        <v>331</v>
      </c>
      <c r="M142" s="259">
        <f>M139+M140+M141</f>
        <v>0</v>
      </c>
      <c r="N142" s="259">
        <f>N139+N140+N141</f>
        <v>0</v>
      </c>
      <c r="O142" s="259"/>
    </row>
    <row r="143" spans="1:15" x14ac:dyDescent="0.2">
      <c r="A143" s="803"/>
      <c r="B143" s="805"/>
      <c r="C143" t="s">
        <v>317</v>
      </c>
      <c r="D143" s="259">
        <v>29147</v>
      </c>
      <c r="E143" s="259">
        <v>138345</v>
      </c>
      <c r="F143" s="259">
        <v>7802</v>
      </c>
      <c r="G143" s="259">
        <v>105</v>
      </c>
      <c r="H143" s="259">
        <v>0</v>
      </c>
      <c r="I143" s="259">
        <v>0</v>
      </c>
      <c r="J143" s="259">
        <v>0</v>
      </c>
      <c r="K143" s="259">
        <v>7997</v>
      </c>
      <c r="L143" s="259">
        <v>2679</v>
      </c>
      <c r="M143" s="259">
        <v>7515</v>
      </c>
      <c r="N143" s="259">
        <v>0</v>
      </c>
      <c r="O143" s="259"/>
    </row>
    <row r="144" spans="1:15" x14ac:dyDescent="0.2">
      <c r="A144" s="803"/>
      <c r="B144" s="805"/>
      <c r="C144" s="42" t="s">
        <v>329</v>
      </c>
      <c r="D144" s="250">
        <f>(D139*$A$3)+(D140*$A$4)+(D141*$A$5)</f>
        <v>9.4553999999999991</v>
      </c>
      <c r="E144" s="250">
        <f>(E139*$A$3)+(E140*$A$4)+(E141*$A$5)</f>
        <v>21.375799999999998</v>
      </c>
      <c r="F144" s="250">
        <f>(F139*$A$3)+(F140*$A$4)+(F141*$A$5)</f>
        <v>7.4085999999999999</v>
      </c>
      <c r="G144" s="250">
        <f>(G139*$A$3)+(G140*$A$4)+(G141*$A$5)</f>
        <v>0.12239999999999998</v>
      </c>
      <c r="H144" s="250">
        <f>H142</f>
        <v>0</v>
      </c>
      <c r="I144" s="250">
        <f>((I139*$A$3)+(I140*$A$4)+(I141*$A$5))/$I$16</f>
        <v>0</v>
      </c>
      <c r="J144" s="251">
        <f>((J139*$A$3)+(J140*$A$4)+(J141*$A$5))</f>
        <v>0</v>
      </c>
      <c r="K144" s="250">
        <f>(K139*$A$3)+(K140*$A$4)+(K141*$A$5)</f>
        <v>0</v>
      </c>
      <c r="L144" s="250">
        <f>(L139*$A$3)+(L140*$A$4)+(L141*$A$5)</f>
        <v>2.2473999999999998</v>
      </c>
      <c r="M144" s="250">
        <f>(M139*$A$3)+(M140*$A$4)+(M141*$A$5)</f>
        <v>0</v>
      </c>
      <c r="N144" s="250">
        <f>(N139*$A$3)+(N140*$A$4)+(N141*$A$5)</f>
        <v>0</v>
      </c>
      <c r="O144" s="250"/>
    </row>
    <row r="145" spans="1:15" x14ac:dyDescent="0.2">
      <c r="A145" s="804"/>
      <c r="B145" s="806"/>
      <c r="C145" s="235" t="s">
        <v>330</v>
      </c>
      <c r="D145" s="253">
        <f t="shared" ref="D145:J145" si="90">D144*$D$5</f>
        <v>0.10779155999999999</v>
      </c>
      <c r="E145" s="253">
        <f t="shared" si="90"/>
        <v>0.24368411999999998</v>
      </c>
      <c r="F145" s="253">
        <f t="shared" si="90"/>
        <v>8.4458039999999998E-2</v>
      </c>
      <c r="G145" s="253">
        <f t="shared" si="90"/>
        <v>1.3953599999999998E-3</v>
      </c>
      <c r="H145" s="253">
        <f t="shared" si="90"/>
        <v>0</v>
      </c>
      <c r="I145" s="253">
        <f t="shared" si="90"/>
        <v>0</v>
      </c>
      <c r="J145" s="258">
        <f t="shared" si="90"/>
        <v>0</v>
      </c>
      <c r="K145" s="253">
        <f>K144*$G$5</f>
        <v>0</v>
      </c>
      <c r="L145" s="253">
        <f>L144*$G$5</f>
        <v>6.2477719999999994E-2</v>
      </c>
      <c r="M145" s="253">
        <f>M144*$G$5</f>
        <v>0</v>
      </c>
      <c r="N145" s="253">
        <f>N144*$G$5</f>
        <v>0</v>
      </c>
      <c r="O145" s="253"/>
    </row>
    <row r="146" spans="1:15" x14ac:dyDescent="0.2">
      <c r="A146" s="262" t="s">
        <v>331</v>
      </c>
      <c r="B146" s="262"/>
      <c r="C146" s="263"/>
      <c r="D146" s="264"/>
      <c r="E146" s="264"/>
      <c r="F146" s="264"/>
      <c r="G146" s="264"/>
      <c r="H146" s="265"/>
      <c r="I146" s="265"/>
      <c r="J146" s="265"/>
      <c r="K146" s="265"/>
      <c r="L146" s="265"/>
      <c r="M146" s="265"/>
      <c r="N146" s="265"/>
      <c r="O146" s="265"/>
    </row>
    <row r="147" spans="1:15" x14ac:dyDescent="0.2">
      <c r="A147" s="798">
        <v>2019</v>
      </c>
      <c r="B147" s="805" t="s">
        <v>180</v>
      </c>
      <c r="C147" t="s">
        <v>261</v>
      </c>
      <c r="D147" s="200">
        <v>24</v>
      </c>
      <c r="E147" s="200">
        <v>146</v>
      </c>
      <c r="F147" s="200">
        <v>14</v>
      </c>
      <c r="G147" s="200">
        <v>2</v>
      </c>
      <c r="H147" s="266"/>
      <c r="I147" s="200">
        <v>23</v>
      </c>
      <c r="J147" s="200">
        <v>0</v>
      </c>
      <c r="K147" s="200">
        <v>0</v>
      </c>
      <c r="L147" s="200">
        <v>0</v>
      </c>
      <c r="M147" s="200">
        <v>0</v>
      </c>
      <c r="N147" s="200">
        <v>0</v>
      </c>
      <c r="O147" s="200"/>
    </row>
    <row r="148" spans="1:15" x14ac:dyDescent="0.2">
      <c r="A148" s="798"/>
      <c r="B148" s="805"/>
      <c r="C148" t="s">
        <v>264</v>
      </c>
      <c r="D148" s="200">
        <v>31</v>
      </c>
      <c r="E148" s="200">
        <v>62</v>
      </c>
      <c r="F148" s="200">
        <v>6</v>
      </c>
      <c r="G148" s="200">
        <v>41</v>
      </c>
      <c r="H148" s="266"/>
      <c r="I148" s="200">
        <v>321</v>
      </c>
      <c r="J148" s="200">
        <v>0</v>
      </c>
      <c r="K148" s="200">
        <v>6</v>
      </c>
      <c r="L148" s="200">
        <v>143</v>
      </c>
      <c r="M148" s="200">
        <v>0</v>
      </c>
      <c r="N148" s="200">
        <v>0</v>
      </c>
      <c r="O148" s="200"/>
    </row>
    <row r="149" spans="1:15" x14ac:dyDescent="0.2">
      <c r="A149" s="798"/>
      <c r="B149" s="805"/>
      <c r="C149" t="s">
        <v>313</v>
      </c>
      <c r="D149" s="200">
        <v>2483</v>
      </c>
      <c r="E149" s="200">
        <v>798</v>
      </c>
      <c r="F149" s="200">
        <v>356</v>
      </c>
      <c r="G149" s="200">
        <v>368</v>
      </c>
      <c r="H149" s="266"/>
      <c r="I149" s="200">
        <v>789</v>
      </c>
      <c r="J149" s="200">
        <v>1</v>
      </c>
      <c r="K149" s="200">
        <v>1</v>
      </c>
      <c r="L149" s="200">
        <v>424</v>
      </c>
      <c r="M149" s="200">
        <v>2</v>
      </c>
      <c r="N149" s="200">
        <v>0</v>
      </c>
      <c r="O149" s="200"/>
    </row>
    <row r="150" spans="1:15" x14ac:dyDescent="0.2">
      <c r="A150" s="798"/>
      <c r="B150" s="805"/>
      <c r="C150" s="42" t="s">
        <v>314</v>
      </c>
      <c r="D150" s="267">
        <v>2538</v>
      </c>
      <c r="E150" s="268">
        <v>1006</v>
      </c>
      <c r="F150" s="268">
        <v>376</v>
      </c>
      <c r="G150" s="268">
        <v>411</v>
      </c>
      <c r="H150" s="269"/>
      <c r="I150" s="268">
        <f>I147+I148+I149</f>
        <v>1133</v>
      </c>
      <c r="J150" s="268">
        <v>1</v>
      </c>
      <c r="K150" s="268">
        <f>SUM(K147:K149)</f>
        <v>7</v>
      </c>
      <c r="L150" s="268">
        <f>SUM(L147:L149)</f>
        <v>567</v>
      </c>
      <c r="M150" s="268">
        <f>SUM(M147:M149)</f>
        <v>2</v>
      </c>
      <c r="N150" s="268">
        <f>SUM(N147:N149)</f>
        <v>0</v>
      </c>
      <c r="O150" s="268"/>
    </row>
    <row r="151" spans="1:15" x14ac:dyDescent="0.2">
      <c r="A151" s="776"/>
      <c r="B151" s="806"/>
      <c r="C151" s="235" t="s">
        <v>317</v>
      </c>
      <c r="D151" s="239">
        <v>48445</v>
      </c>
      <c r="E151" s="239">
        <v>224018</v>
      </c>
      <c r="F151" s="239">
        <v>22051</v>
      </c>
      <c r="G151" s="239">
        <v>12502</v>
      </c>
      <c r="H151" s="270"/>
      <c r="I151" s="239">
        <v>10524</v>
      </c>
      <c r="J151" s="239">
        <v>1</v>
      </c>
      <c r="K151" s="239">
        <v>15188</v>
      </c>
      <c r="L151" s="239">
        <v>5068</v>
      </c>
      <c r="M151" s="239">
        <v>14206</v>
      </c>
      <c r="N151" s="239">
        <v>1906</v>
      </c>
      <c r="O151" s="239"/>
    </row>
    <row r="152" spans="1:15" x14ac:dyDescent="0.2">
      <c r="A152" s="808">
        <v>2018</v>
      </c>
      <c r="B152" s="805" t="s">
        <v>180</v>
      </c>
      <c r="C152" s="260" t="s">
        <v>261</v>
      </c>
      <c r="D152" s="271">
        <v>45</v>
      </c>
      <c r="E152" s="271">
        <v>126</v>
      </c>
      <c r="F152" s="271">
        <v>25</v>
      </c>
      <c r="G152" s="271">
        <v>60</v>
      </c>
      <c r="H152" s="272"/>
      <c r="I152" s="272"/>
      <c r="J152" s="272"/>
      <c r="K152" s="271">
        <v>0</v>
      </c>
      <c r="L152" s="271">
        <v>1</v>
      </c>
      <c r="M152" s="271">
        <v>0</v>
      </c>
      <c r="N152" s="271">
        <v>0</v>
      </c>
      <c r="O152" s="271"/>
    </row>
    <row r="153" spans="1:15" x14ac:dyDescent="0.2">
      <c r="A153" s="798"/>
      <c r="B153" s="805"/>
      <c r="C153" t="s">
        <v>264</v>
      </c>
      <c r="D153" s="200">
        <v>40</v>
      </c>
      <c r="E153" s="200">
        <v>119</v>
      </c>
      <c r="F153" s="200">
        <v>37</v>
      </c>
      <c r="G153" s="200">
        <v>102</v>
      </c>
      <c r="H153" s="266"/>
      <c r="I153" s="266"/>
      <c r="J153" s="266"/>
      <c r="K153" s="200">
        <v>8</v>
      </c>
      <c r="L153" s="200">
        <v>88</v>
      </c>
      <c r="M153" s="200">
        <v>0</v>
      </c>
      <c r="N153" s="200">
        <v>0</v>
      </c>
      <c r="O153" s="200"/>
    </row>
    <row r="154" spans="1:15" x14ac:dyDescent="0.2">
      <c r="A154" s="798"/>
      <c r="B154" s="805"/>
      <c r="C154" t="s">
        <v>313</v>
      </c>
      <c r="D154" s="200">
        <v>2254</v>
      </c>
      <c r="E154" s="200">
        <v>893</v>
      </c>
      <c r="F154" s="200">
        <v>716</v>
      </c>
      <c r="G154" s="200">
        <v>211</v>
      </c>
      <c r="H154" s="266"/>
      <c r="I154" s="266"/>
      <c r="J154" s="266"/>
      <c r="K154" s="200">
        <v>0</v>
      </c>
      <c r="L154" s="200">
        <v>448</v>
      </c>
      <c r="M154" s="200">
        <v>0</v>
      </c>
      <c r="N154" s="200">
        <v>0</v>
      </c>
      <c r="O154" s="200"/>
    </row>
    <row r="155" spans="1:15" x14ac:dyDescent="0.2">
      <c r="A155" s="798"/>
      <c r="B155" s="805"/>
      <c r="C155" s="42" t="s">
        <v>314</v>
      </c>
      <c r="D155" s="267">
        <v>2339</v>
      </c>
      <c r="E155" s="268">
        <v>1138</v>
      </c>
      <c r="F155" s="268">
        <v>778</v>
      </c>
      <c r="G155" s="268">
        <v>373</v>
      </c>
      <c r="H155" s="269"/>
      <c r="I155" s="269"/>
      <c r="J155" s="269"/>
      <c r="K155" s="268">
        <v>8</v>
      </c>
      <c r="L155" s="268">
        <v>537</v>
      </c>
      <c r="M155" s="268">
        <v>0</v>
      </c>
      <c r="N155" s="268">
        <v>0</v>
      </c>
      <c r="O155" s="268"/>
    </row>
    <row r="156" spans="1:15" x14ac:dyDescent="0.2">
      <c r="A156" s="776"/>
      <c r="B156" s="806"/>
      <c r="C156" s="235" t="s">
        <v>317</v>
      </c>
      <c r="D156" s="239">
        <v>43595</v>
      </c>
      <c r="E156" s="239">
        <v>224789</v>
      </c>
      <c r="F156" s="239">
        <v>23941</v>
      </c>
      <c r="G156" s="239">
        <v>14234</v>
      </c>
      <c r="H156" s="270"/>
      <c r="I156" s="270"/>
      <c r="J156" s="270"/>
      <c r="K156" s="239">
        <v>15313</v>
      </c>
      <c r="L156" s="239">
        <v>6195</v>
      </c>
      <c r="M156" s="239">
        <v>14331</v>
      </c>
      <c r="N156" s="239">
        <v>1908</v>
      </c>
      <c r="O156" s="239"/>
    </row>
    <row r="157" spans="1:15" x14ac:dyDescent="0.2">
      <c r="A157" s="808">
        <v>2017</v>
      </c>
      <c r="B157" s="805" t="s">
        <v>180</v>
      </c>
      <c r="C157" s="260" t="s">
        <v>261</v>
      </c>
      <c r="D157" s="271">
        <v>50</v>
      </c>
      <c r="E157" s="271">
        <v>112</v>
      </c>
      <c r="F157" s="271">
        <v>45</v>
      </c>
      <c r="G157" s="271">
        <v>19</v>
      </c>
      <c r="H157" s="272"/>
      <c r="I157" s="272"/>
      <c r="J157" s="272"/>
      <c r="K157" s="271">
        <v>0</v>
      </c>
      <c r="L157" s="271">
        <v>1</v>
      </c>
      <c r="M157" s="271">
        <v>0</v>
      </c>
      <c r="N157" s="271">
        <v>0</v>
      </c>
      <c r="O157" s="271"/>
    </row>
    <row r="158" spans="1:15" x14ac:dyDescent="0.2">
      <c r="A158" s="798"/>
      <c r="B158" s="805"/>
      <c r="C158" t="s">
        <v>264</v>
      </c>
      <c r="D158" s="200">
        <v>21</v>
      </c>
      <c r="E158" s="200">
        <v>138</v>
      </c>
      <c r="F158" s="200">
        <v>34</v>
      </c>
      <c r="G158" s="200">
        <v>64</v>
      </c>
      <c r="H158" s="266"/>
      <c r="I158" s="266"/>
      <c r="J158" s="266"/>
      <c r="K158" s="200">
        <v>0</v>
      </c>
      <c r="L158" s="200">
        <v>16</v>
      </c>
      <c r="M158" s="200">
        <v>3</v>
      </c>
      <c r="N158" s="200">
        <v>3</v>
      </c>
      <c r="O158" s="200"/>
    </row>
    <row r="159" spans="1:15" x14ac:dyDescent="0.2">
      <c r="A159" s="798"/>
      <c r="B159" s="805"/>
      <c r="C159" t="s">
        <v>313</v>
      </c>
      <c r="D159" s="200">
        <v>2561</v>
      </c>
      <c r="E159" s="200">
        <v>902</v>
      </c>
      <c r="F159" s="200">
        <v>997</v>
      </c>
      <c r="G159" s="200">
        <v>385</v>
      </c>
      <c r="H159" s="266"/>
      <c r="I159" s="266"/>
      <c r="J159" s="266"/>
      <c r="K159" s="200">
        <v>5</v>
      </c>
      <c r="L159" s="200">
        <v>325</v>
      </c>
      <c r="M159" s="200">
        <v>0</v>
      </c>
      <c r="N159" s="200">
        <v>0</v>
      </c>
      <c r="O159" s="200"/>
    </row>
    <row r="160" spans="1:15" x14ac:dyDescent="0.2">
      <c r="A160" s="798"/>
      <c r="B160" s="805"/>
      <c r="C160" s="42" t="s">
        <v>314</v>
      </c>
      <c r="D160" s="267">
        <v>2632</v>
      </c>
      <c r="E160" s="268">
        <v>1152</v>
      </c>
      <c r="F160" s="268">
        <v>1076</v>
      </c>
      <c r="G160" s="268">
        <v>468</v>
      </c>
      <c r="H160" s="269"/>
      <c r="I160" s="269"/>
      <c r="J160" s="269"/>
      <c r="K160" s="268">
        <v>5</v>
      </c>
      <c r="L160" s="268">
        <v>342</v>
      </c>
      <c r="M160" s="268">
        <v>3</v>
      </c>
      <c r="N160" s="268">
        <v>3</v>
      </c>
      <c r="O160" s="268"/>
    </row>
    <row r="161" spans="1:15" x14ac:dyDescent="0.2">
      <c r="A161" s="776"/>
      <c r="B161" s="806"/>
      <c r="C161" s="235" t="s">
        <v>317</v>
      </c>
      <c r="D161" s="239">
        <v>42204</v>
      </c>
      <c r="E161" s="239">
        <v>225308</v>
      </c>
      <c r="F161" s="239">
        <v>22273</v>
      </c>
      <c r="G161" s="239">
        <v>15952</v>
      </c>
      <c r="H161" s="270"/>
      <c r="I161" s="270"/>
      <c r="J161" s="270"/>
      <c r="K161" s="239">
        <v>15327</v>
      </c>
      <c r="L161" s="239">
        <v>5069</v>
      </c>
      <c r="M161" s="239">
        <v>14345</v>
      </c>
      <c r="N161" s="239">
        <v>1886</v>
      </c>
      <c r="O161" s="239"/>
    </row>
    <row r="162" spans="1:15" x14ac:dyDescent="0.2">
      <c r="A162" s="808">
        <v>2016</v>
      </c>
      <c r="B162" s="805" t="s">
        <v>180</v>
      </c>
      <c r="C162" s="260" t="s">
        <v>261</v>
      </c>
      <c r="D162" s="271">
        <v>100</v>
      </c>
      <c r="E162" s="271">
        <v>147</v>
      </c>
      <c r="F162" s="271">
        <v>37</v>
      </c>
      <c r="G162" s="271">
        <v>2</v>
      </c>
      <c r="H162" s="272"/>
      <c r="I162" s="272"/>
      <c r="J162" s="272"/>
      <c r="K162" s="271">
        <v>0</v>
      </c>
      <c r="L162" s="271">
        <v>1</v>
      </c>
      <c r="M162" s="271">
        <v>0</v>
      </c>
      <c r="N162" s="271">
        <v>0</v>
      </c>
      <c r="O162" s="271"/>
    </row>
    <row r="163" spans="1:15" x14ac:dyDescent="0.2">
      <c r="A163" s="798"/>
      <c r="B163" s="805"/>
      <c r="C163" t="s">
        <v>264</v>
      </c>
      <c r="D163" s="200">
        <v>52</v>
      </c>
      <c r="E163" s="200">
        <v>154</v>
      </c>
      <c r="F163" s="200">
        <v>33</v>
      </c>
      <c r="G163" s="200">
        <v>72</v>
      </c>
      <c r="H163" s="266"/>
      <c r="I163" s="266"/>
      <c r="J163" s="266"/>
      <c r="K163" s="200">
        <v>3</v>
      </c>
      <c r="L163" s="200">
        <v>13</v>
      </c>
      <c r="M163" s="200">
        <v>0</v>
      </c>
      <c r="N163" s="200">
        <v>3</v>
      </c>
      <c r="O163" s="200"/>
    </row>
    <row r="164" spans="1:15" x14ac:dyDescent="0.2">
      <c r="A164" s="798"/>
      <c r="B164" s="805"/>
      <c r="C164" t="s">
        <v>313</v>
      </c>
      <c r="D164" s="200">
        <v>3261</v>
      </c>
      <c r="E164" s="200">
        <v>1065</v>
      </c>
      <c r="F164" s="200">
        <v>1375</v>
      </c>
      <c r="G164" s="200">
        <v>540</v>
      </c>
      <c r="H164" s="266"/>
      <c r="I164" s="266"/>
      <c r="J164" s="266"/>
      <c r="K164" s="200">
        <v>31</v>
      </c>
      <c r="L164" s="200">
        <v>312</v>
      </c>
      <c r="M164" s="200">
        <v>0</v>
      </c>
      <c r="N164" s="200">
        <v>0</v>
      </c>
      <c r="O164" s="200"/>
    </row>
    <row r="165" spans="1:15" x14ac:dyDescent="0.2">
      <c r="A165" s="798"/>
      <c r="B165" s="805"/>
      <c r="C165" s="42" t="s">
        <v>314</v>
      </c>
      <c r="D165" s="267">
        <v>3413</v>
      </c>
      <c r="E165" s="268">
        <v>1366</v>
      </c>
      <c r="F165" s="268">
        <v>1445</v>
      </c>
      <c r="G165" s="268">
        <v>614</v>
      </c>
      <c r="H165" s="269"/>
      <c r="I165" s="269"/>
      <c r="J165" s="269"/>
      <c r="K165" s="268">
        <v>34</v>
      </c>
      <c r="L165" s="268">
        <v>326</v>
      </c>
      <c r="M165" s="268">
        <v>0</v>
      </c>
      <c r="N165" s="268">
        <v>3</v>
      </c>
      <c r="O165" s="268"/>
    </row>
    <row r="166" spans="1:15" x14ac:dyDescent="0.2">
      <c r="A166" s="776"/>
      <c r="B166" s="806"/>
      <c r="C166" s="235" t="s">
        <v>317</v>
      </c>
      <c r="D166" s="239">
        <v>47684</v>
      </c>
      <c r="E166" s="239">
        <v>225950</v>
      </c>
      <c r="F166" s="239">
        <v>22191</v>
      </c>
      <c r="G166" s="239">
        <v>10511</v>
      </c>
      <c r="H166" s="270"/>
      <c r="I166" s="270"/>
      <c r="J166" s="270"/>
      <c r="K166" s="239">
        <v>15346</v>
      </c>
      <c r="L166" s="239">
        <v>4984</v>
      </c>
      <c r="M166" s="239">
        <v>14364</v>
      </c>
      <c r="N166" s="239">
        <v>1896</v>
      </c>
      <c r="O166" s="239"/>
    </row>
    <row r="167" spans="1:15" x14ac:dyDescent="0.2">
      <c r="A167" s="808">
        <v>2015</v>
      </c>
      <c r="B167" s="805" t="s">
        <v>180</v>
      </c>
      <c r="C167" s="260" t="s">
        <v>261</v>
      </c>
      <c r="D167" s="271">
        <v>242</v>
      </c>
      <c r="E167" s="271">
        <v>77</v>
      </c>
      <c r="F167" s="271">
        <v>53</v>
      </c>
      <c r="G167" s="272"/>
      <c r="H167" s="272"/>
      <c r="I167" s="272"/>
      <c r="J167" s="272"/>
      <c r="K167" s="271">
        <v>0</v>
      </c>
      <c r="L167" s="271">
        <v>2</v>
      </c>
      <c r="M167" s="271">
        <v>0</v>
      </c>
      <c r="N167" s="271">
        <v>0</v>
      </c>
      <c r="O167" s="271"/>
    </row>
    <row r="168" spans="1:15" x14ac:dyDescent="0.2">
      <c r="A168" s="798"/>
      <c r="B168" s="805"/>
      <c r="C168" t="s">
        <v>264</v>
      </c>
      <c r="D168" s="200">
        <v>26</v>
      </c>
      <c r="E168" s="200">
        <v>90</v>
      </c>
      <c r="F168" s="200">
        <v>41</v>
      </c>
      <c r="G168" s="266"/>
      <c r="H168" s="266"/>
      <c r="I168" s="266"/>
      <c r="J168" s="266"/>
      <c r="K168" s="200">
        <v>38</v>
      </c>
      <c r="L168" s="200">
        <v>69</v>
      </c>
      <c r="M168" s="200">
        <v>0</v>
      </c>
      <c r="N168" s="200">
        <v>2</v>
      </c>
      <c r="O168" s="200"/>
    </row>
    <row r="169" spans="1:15" x14ac:dyDescent="0.2">
      <c r="A169" s="798"/>
      <c r="B169" s="805"/>
      <c r="C169" t="s">
        <v>313</v>
      </c>
      <c r="D169" s="200">
        <v>3274</v>
      </c>
      <c r="E169" s="200">
        <v>648</v>
      </c>
      <c r="F169" s="200">
        <v>587</v>
      </c>
      <c r="G169" s="266"/>
      <c r="H169" s="266"/>
      <c r="I169" s="266"/>
      <c r="J169" s="266"/>
      <c r="K169" s="200">
        <v>28</v>
      </c>
      <c r="L169" s="200">
        <v>653</v>
      </c>
      <c r="M169" s="200">
        <v>4</v>
      </c>
      <c r="N169" s="200">
        <v>0</v>
      </c>
      <c r="O169" s="200"/>
    </row>
    <row r="170" spans="1:15" x14ac:dyDescent="0.2">
      <c r="A170" s="798"/>
      <c r="B170" s="805"/>
      <c r="C170" s="42" t="s">
        <v>314</v>
      </c>
      <c r="D170" s="267">
        <v>3542</v>
      </c>
      <c r="E170" s="268">
        <v>815</v>
      </c>
      <c r="F170" s="268">
        <v>681</v>
      </c>
      <c r="G170" s="269"/>
      <c r="H170" s="269"/>
      <c r="I170" s="269"/>
      <c r="J170" s="269"/>
      <c r="K170" s="268">
        <v>66</v>
      </c>
      <c r="L170" s="268">
        <v>724</v>
      </c>
      <c r="M170" s="268">
        <v>4</v>
      </c>
      <c r="N170" s="268">
        <v>2</v>
      </c>
      <c r="O170" s="268"/>
    </row>
    <row r="171" spans="1:15" x14ac:dyDescent="0.2">
      <c r="A171" s="776"/>
      <c r="B171" s="806"/>
      <c r="C171" s="235" t="s">
        <v>317</v>
      </c>
      <c r="D171" s="239">
        <v>48202</v>
      </c>
      <c r="E171" s="239">
        <v>226734</v>
      </c>
      <c r="F171" s="239">
        <v>24869</v>
      </c>
      <c r="G171" s="270"/>
      <c r="H171" s="270"/>
      <c r="I171" s="270"/>
      <c r="J171" s="270"/>
      <c r="K171" s="239">
        <v>15480</v>
      </c>
      <c r="L171" s="239">
        <v>6591</v>
      </c>
      <c r="M171" s="239">
        <v>14498</v>
      </c>
      <c r="N171" s="239">
        <v>1896</v>
      </c>
      <c r="O171" s="239"/>
    </row>
    <row r="173" spans="1:15" x14ac:dyDescent="0.2">
      <c r="A173" s="273"/>
      <c r="B173" s="273"/>
      <c r="C173" s="274"/>
      <c r="D173" s="274"/>
      <c r="E173" s="274"/>
      <c r="F173" s="274"/>
      <c r="G173" s="274"/>
      <c r="H173" s="274"/>
      <c r="I173" s="274"/>
      <c r="J173" s="274"/>
      <c r="K173" s="274"/>
      <c r="L173" s="274"/>
      <c r="M173" s="274"/>
      <c r="N173" s="274"/>
      <c r="O173" s="274"/>
    </row>
    <row r="174" spans="1:15" x14ac:dyDescent="0.2">
      <c r="A174" s="274"/>
      <c r="B174" s="274"/>
      <c r="C174" s="274"/>
      <c r="D174" s="274"/>
      <c r="E174" s="274"/>
      <c r="F174" s="274"/>
      <c r="G174" s="274"/>
      <c r="H174" s="274"/>
      <c r="I174" s="274"/>
      <c r="J174" s="274"/>
      <c r="K174" s="274"/>
      <c r="L174" s="274"/>
      <c r="M174" s="274"/>
      <c r="N174" s="274"/>
      <c r="O174" s="274"/>
    </row>
  </sheetData>
  <mergeCells count="55">
    <mergeCell ref="A167:A171"/>
    <mergeCell ref="B167:B171"/>
    <mergeCell ref="A152:A156"/>
    <mergeCell ref="B152:B156"/>
    <mergeCell ref="A157:A161"/>
    <mergeCell ref="B157:B161"/>
    <mergeCell ref="A162:A166"/>
    <mergeCell ref="B162:B166"/>
    <mergeCell ref="A124:A145"/>
    <mergeCell ref="B125:B131"/>
    <mergeCell ref="B132:B138"/>
    <mergeCell ref="B139:B145"/>
    <mergeCell ref="A147:A151"/>
    <mergeCell ref="B147:B151"/>
    <mergeCell ref="A80:A101"/>
    <mergeCell ref="B81:B87"/>
    <mergeCell ref="B88:B94"/>
    <mergeCell ref="B95:B101"/>
    <mergeCell ref="A102:A123"/>
    <mergeCell ref="B103:B109"/>
    <mergeCell ref="B110:B116"/>
    <mergeCell ref="B117:B123"/>
    <mergeCell ref="A36:A57"/>
    <mergeCell ref="B37:B43"/>
    <mergeCell ref="B44:B50"/>
    <mergeCell ref="B51:B57"/>
    <mergeCell ref="A58:A79"/>
    <mergeCell ref="B59:B65"/>
    <mergeCell ref="B66:B72"/>
    <mergeCell ref="B73:B79"/>
    <mergeCell ref="A30:A34"/>
    <mergeCell ref="B30:B34"/>
    <mergeCell ref="A16:C16"/>
    <mergeCell ref="A18:C18"/>
    <mergeCell ref="A19:C19"/>
    <mergeCell ref="A20:C20"/>
    <mergeCell ref="A21:C21"/>
    <mergeCell ref="A22:C22"/>
    <mergeCell ref="A23:C23"/>
    <mergeCell ref="A24:C24"/>
    <mergeCell ref="A25:C25"/>
    <mergeCell ref="A26:A29"/>
    <mergeCell ref="B26:B29"/>
    <mergeCell ref="A15:C15"/>
    <mergeCell ref="A1:O1"/>
    <mergeCell ref="A2:C2"/>
    <mergeCell ref="D2:I2"/>
    <mergeCell ref="J2:O2"/>
    <mergeCell ref="B3:C3"/>
    <mergeCell ref="B4:C4"/>
    <mergeCell ref="B5:C5"/>
    <mergeCell ref="N8:O8"/>
    <mergeCell ref="A12:C12"/>
    <mergeCell ref="A13:C13"/>
    <mergeCell ref="A14:C14"/>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969FC-F19E-4A5A-A829-C81E8C7A2C65}">
  <dimension ref="B1:I11"/>
  <sheetViews>
    <sheetView workbookViewId="0">
      <selection activeCell="G9" sqref="G9"/>
    </sheetView>
  </sheetViews>
  <sheetFormatPr baseColWidth="10" defaultColWidth="8.6640625" defaultRowHeight="15" x14ac:dyDescent="0.2"/>
  <cols>
    <col min="1" max="1" width="8.6640625" style="63"/>
    <col min="2" max="12" width="16.6640625" style="63" customWidth="1"/>
    <col min="13" max="16384" width="8.6640625" style="63"/>
  </cols>
  <sheetData>
    <row r="1" spans="2:9" x14ac:dyDescent="0.2">
      <c r="B1" s="672"/>
      <c r="C1" s="809" t="s">
        <v>332</v>
      </c>
      <c r="D1" s="809"/>
      <c r="E1" s="809"/>
      <c r="F1" s="809"/>
      <c r="G1" s="809"/>
      <c r="H1" s="809"/>
      <c r="I1" s="809"/>
    </row>
    <row r="2" spans="2:9" x14ac:dyDescent="0.2">
      <c r="B2" s="672"/>
      <c r="C2" s="673" t="s">
        <v>50</v>
      </c>
      <c r="D2" s="673" t="s">
        <v>170</v>
      </c>
      <c r="E2" s="673" t="s">
        <v>333</v>
      </c>
      <c r="F2" s="673" t="s">
        <v>334</v>
      </c>
      <c r="G2" s="673" t="s">
        <v>335</v>
      </c>
      <c r="H2" s="673" t="s">
        <v>336</v>
      </c>
      <c r="I2" s="673" t="s">
        <v>149</v>
      </c>
    </row>
    <row r="3" spans="2:9" x14ac:dyDescent="0.2">
      <c r="B3" s="672" t="s">
        <v>337</v>
      </c>
      <c r="C3" s="674">
        <f>'Risk Scoring Workpaper'!D46</f>
        <v>4</v>
      </c>
      <c r="D3" s="674">
        <f>'Risk Scoring Workpaper'!D50</f>
        <v>1429.5137027032702</v>
      </c>
      <c r="E3" s="674">
        <f>'Risk Scoring Workpaper'!D47</f>
        <v>13.328947703270135</v>
      </c>
      <c r="F3" s="674">
        <f>'Risk Scoring Workpaper'!D48</f>
        <v>788.85687500000006</v>
      </c>
      <c r="G3" s="674">
        <f>'Risk Scoring Workpaper'!D49</f>
        <v>627.32788000000005</v>
      </c>
      <c r="H3" s="674">
        <f>0</f>
        <v>0</v>
      </c>
      <c r="I3" s="674">
        <f>C3*D3</f>
        <v>5718.0548108130806</v>
      </c>
    </row>
    <row r="4" spans="2:9" x14ac:dyDescent="0.2">
      <c r="B4" s="672" t="s">
        <v>338</v>
      </c>
      <c r="C4" s="674">
        <f>'Risk Scoring Workpaper'!D39</f>
        <v>4</v>
      </c>
      <c r="D4" s="674">
        <f>'Risk Scoring Workpaper'!D43</f>
        <v>438.48392331098103</v>
      </c>
      <c r="E4" s="674">
        <f>'Risk Scoring Workpaper'!D40</f>
        <v>3.9986843109810399</v>
      </c>
      <c r="F4" s="674">
        <f>'Risk Scoring Workpaper'!D41</f>
        <v>246.28687500000001</v>
      </c>
      <c r="G4" s="674">
        <f>'Risk Scoring Workpaper'!D42</f>
        <v>188.198364</v>
      </c>
      <c r="H4" s="674">
        <f>0</f>
        <v>0</v>
      </c>
      <c r="I4" s="674">
        <f t="shared" ref="I4:I8" si="0">C4*D4</f>
        <v>1753.9356932439241</v>
      </c>
    </row>
    <row r="5" spans="2:9" x14ac:dyDescent="0.2">
      <c r="B5" s="672" t="s">
        <v>339</v>
      </c>
      <c r="C5" s="674">
        <f>'Risk Scoring Workpaper'!D32</f>
        <v>4</v>
      </c>
      <c r="D5" s="674">
        <f>'Risk Scoring Workpaper'!D36</f>
        <v>991.02977939228913</v>
      </c>
      <c r="E5" s="674">
        <f>'Risk Scoring Workpaper'!D33</f>
        <v>9.3302633922890941</v>
      </c>
      <c r="F5" s="674">
        <f>'Risk Scoring Workpaper'!D34</f>
        <v>542.57000000000005</v>
      </c>
      <c r="G5" s="674">
        <f>'Risk Scoring Workpaper'!D35</f>
        <v>439.12951600000002</v>
      </c>
      <c r="H5" s="674">
        <f>0</f>
        <v>0</v>
      </c>
      <c r="I5" s="674">
        <f t="shared" si="0"/>
        <v>3964.1191175691565</v>
      </c>
    </row>
    <row r="6" spans="2:9" x14ac:dyDescent="0.2">
      <c r="B6" s="672" t="s">
        <v>340</v>
      </c>
      <c r="C6" s="674">
        <f>'Risk Scoring Workpaper'!E75</f>
        <v>7.2</v>
      </c>
      <c r="D6" s="674">
        <f>'Risk Scoring Workpaper'!D22</f>
        <v>34.464486904354189</v>
      </c>
      <c r="E6" s="674">
        <f>'Risk Scoring Workpaper'!D19</f>
        <v>12.22097500038122</v>
      </c>
      <c r="F6" s="674">
        <f>'Risk Scoring Workpaper'!D20</f>
        <v>2.875</v>
      </c>
      <c r="G6" s="674">
        <f>'Risk Scoring Workpaper'!D21</f>
        <v>19.368511903972969</v>
      </c>
      <c r="H6" s="674">
        <f>0</f>
        <v>0</v>
      </c>
      <c r="I6" s="674">
        <f>C6*D6</f>
        <v>248.14430571135017</v>
      </c>
    </row>
    <row r="7" spans="2:9" x14ac:dyDescent="0.2">
      <c r="B7" s="672" t="s">
        <v>341</v>
      </c>
      <c r="C7" s="674">
        <f>'Risk Scoring Workpaper'!D25</f>
        <v>19.2</v>
      </c>
      <c r="D7" s="674">
        <f>'Risk Scoring Workpaper'!D29</f>
        <v>805.90104166666379</v>
      </c>
      <c r="E7" s="674">
        <f>'Risk Scoring Workpaper'!D26</f>
        <v>293.74999999999886</v>
      </c>
      <c r="F7" s="674">
        <f>'Risk Scoring Workpaper'!D27</f>
        <v>46.598958333333336</v>
      </c>
      <c r="G7" s="674">
        <f>'Risk Scoring Workpaper'!D28</f>
        <v>465.55208333333167</v>
      </c>
      <c r="H7" s="674">
        <f>0</f>
        <v>0</v>
      </c>
      <c r="I7" s="674">
        <f t="shared" si="0"/>
        <v>15473.299999999945</v>
      </c>
    </row>
    <row r="8" spans="2:9" x14ac:dyDescent="0.2">
      <c r="B8" s="672" t="s">
        <v>342</v>
      </c>
      <c r="C8" s="674">
        <f>'Risk Scoring Workpaper'!E74</f>
        <v>5.8</v>
      </c>
      <c r="D8" s="674">
        <f>'Risk Scoring Workpaper'!D15</f>
        <v>955.12197700150455</v>
      </c>
      <c r="E8" s="674">
        <f>'Risk Scoring Workpaper'!D12</f>
        <v>348.02866591505182</v>
      </c>
      <c r="F8" s="674">
        <f>'Risk Scoring Workpaper'!D13</f>
        <v>55.517241379310356</v>
      </c>
      <c r="G8" s="674">
        <f>'Risk Scoring Workpaper'!D14</f>
        <v>551.57606970714232</v>
      </c>
      <c r="H8" s="674">
        <f>0</f>
        <v>0</v>
      </c>
      <c r="I8" s="674">
        <f t="shared" si="0"/>
        <v>5539.7074666087265</v>
      </c>
    </row>
    <row r="9" spans="2:9" x14ac:dyDescent="0.2">
      <c r="B9" s="672" t="s">
        <v>343</v>
      </c>
      <c r="C9" s="674">
        <f>'Risk Scoring Workpaper'!E73</f>
        <v>6.2</v>
      </c>
      <c r="D9" s="674">
        <f>'Risk Scoring Workpaper'!D8</f>
        <v>1562.1690689806242</v>
      </c>
      <c r="E9" s="674">
        <f>'Risk Scoring Workpaper'!D5</f>
        <v>569.91011575644086</v>
      </c>
      <c r="F9" s="674">
        <f>'Risk Scoring Workpaper'!D6</f>
        <v>89.032258064516128</v>
      </c>
      <c r="G9" s="674">
        <f>'Risk Scoring Workpaper'!D7</f>
        <v>903.22669515966732</v>
      </c>
      <c r="H9" s="674">
        <f>0</f>
        <v>0</v>
      </c>
      <c r="I9" s="674">
        <f>C9*D9</f>
        <v>9685.4482276798699</v>
      </c>
    </row>
    <row r="11" spans="2:9" x14ac:dyDescent="0.2">
      <c r="C11" s="113"/>
      <c r="D11" s="113"/>
      <c r="E11" s="113"/>
      <c r="F11" s="113"/>
    </row>
  </sheetData>
  <sortState xmlns:xlrd2="http://schemas.microsoft.com/office/spreadsheetml/2017/richdata2" ref="B3:I9">
    <sortCondition ref="B3:B9"/>
  </sortState>
  <mergeCells count="1">
    <mergeCell ref="C1:I1"/>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7F31-EB21-4C60-879F-46439CDCB992}">
  <sheetPr>
    <tabColor rgb="FF00B0F0"/>
  </sheetPr>
  <dimension ref="A1:AF64"/>
  <sheetViews>
    <sheetView topLeftCell="A19" zoomScale="68" zoomScaleNormal="91" workbookViewId="0">
      <selection activeCell="J32" sqref="J32"/>
    </sheetView>
  </sheetViews>
  <sheetFormatPr baseColWidth="10" defaultColWidth="8.6640625" defaultRowHeight="15" x14ac:dyDescent="0.2"/>
  <cols>
    <col min="1" max="1" width="20.6640625" style="62" customWidth="1"/>
    <col min="2" max="11" width="15.6640625" style="62" customWidth="1"/>
    <col min="12" max="23" width="14.6640625" style="63" customWidth="1"/>
    <col min="24" max="24" width="14" style="63" customWidth="1"/>
    <col min="25" max="25" width="13.33203125" style="63" customWidth="1"/>
    <col min="26" max="26" width="10.6640625" style="63" customWidth="1"/>
    <col min="27" max="28" width="13.5" style="63" customWidth="1"/>
    <col min="29" max="29" width="13.6640625" style="63" customWidth="1"/>
    <col min="30" max="30" width="16.33203125" style="63" bestFit="1" customWidth="1"/>
    <col min="31" max="31" width="8.6640625" style="63"/>
    <col min="32" max="32" width="13" style="63" customWidth="1"/>
    <col min="33" max="16384" width="8.6640625" style="63"/>
  </cols>
  <sheetData>
    <row r="1" spans="1:13" ht="32" x14ac:dyDescent="0.2">
      <c r="A1" s="32" t="s">
        <v>344</v>
      </c>
      <c r="B1" s="33" t="s">
        <v>345</v>
      </c>
      <c r="C1" s="33" t="s">
        <v>346</v>
      </c>
      <c r="D1" s="33" t="s">
        <v>347</v>
      </c>
      <c r="E1" s="33" t="s">
        <v>348</v>
      </c>
      <c r="F1" s="33" t="s">
        <v>349</v>
      </c>
      <c r="G1" s="33" t="s">
        <v>350</v>
      </c>
      <c r="H1" s="33" t="s">
        <v>351</v>
      </c>
      <c r="I1" s="33" t="s">
        <v>352</v>
      </c>
      <c r="J1" s="33" t="s">
        <v>353</v>
      </c>
      <c r="K1" s="70" t="s">
        <v>354</v>
      </c>
      <c r="L1" s="33" t="s">
        <v>355</v>
      </c>
    </row>
    <row r="2" spans="1:13" ht="35.25" customHeight="1" x14ac:dyDescent="0.2">
      <c r="A2" s="810" t="s">
        <v>356</v>
      </c>
      <c r="B2" s="813" t="s">
        <v>357</v>
      </c>
      <c r="C2" s="813" t="s">
        <v>358</v>
      </c>
      <c r="D2" s="44" t="s">
        <v>337</v>
      </c>
      <c r="E2" s="47" t="s">
        <v>359</v>
      </c>
      <c r="F2" s="35" t="str">
        <f>IF($E2="Yes",VLOOKUP($D2,Master_Table!$B$3:$I$9,2,TRUE),"N/A")</f>
        <v>N/A</v>
      </c>
      <c r="G2" s="35" t="str">
        <f>IF($E2="Yes",VLOOKUP($D2,Master_Table!$B$3:$I$9,3,TRUE),"N/A")</f>
        <v>N/A</v>
      </c>
      <c r="H2" s="35" t="str">
        <f>IF($E2="Yes",VLOOKUP($D2,Master_Table!$B$3:$I$9,4,TRUE),"N/A")</f>
        <v>N/A</v>
      </c>
      <c r="I2" s="35" t="str">
        <f>IF($E2="Yes",VLOOKUP($D2,Master_Table!$B$3:$I$9,5,TRUE),"N/A")</f>
        <v>N/A</v>
      </c>
      <c r="J2" s="35" t="str">
        <f>IF($E2="Yes",VLOOKUP($D2,Master_Table!$B$3:$I$9,6,TRUE),"N/A")</f>
        <v>N/A</v>
      </c>
      <c r="K2" s="35" t="str">
        <f>IF($E2="Yes",VLOOKUP($D2,Master_Table!$B$3:$I$9,7,TRUE),"N/A")</f>
        <v>N/A</v>
      </c>
      <c r="L2" s="35" t="str">
        <f>IF($E2="Yes",VLOOKUP($D2,Master_Table!$B$3:$I$9,8,TRUE),"N/A")</f>
        <v>N/A</v>
      </c>
    </row>
    <row r="3" spans="1:13" ht="35.25" customHeight="1" x14ac:dyDescent="0.2">
      <c r="A3" s="811"/>
      <c r="B3" s="814"/>
      <c r="C3" s="814"/>
      <c r="D3" s="45" t="s">
        <v>338</v>
      </c>
      <c r="E3" s="47" t="s">
        <v>360</v>
      </c>
      <c r="F3" s="577">
        <f>IF($E3="Yes",VLOOKUP($D3,Master_Table!$B$3:$I$9,2,TRUE),"N/A")</f>
        <v>4</v>
      </c>
      <c r="G3" s="58">
        <f>IF($E3="Yes",VLOOKUP($D3,Master_Table!$B$3:$I$9,3,TRUE),"N/A")</f>
        <v>438.48392331098103</v>
      </c>
      <c r="H3" s="58">
        <f>IF($E3="Yes",VLOOKUP($D3,Master_Table!$B$3:$I$9,4,TRUE),"N/A")</f>
        <v>3.9986843109810399</v>
      </c>
      <c r="I3" s="58">
        <f>IF($E3="Yes",VLOOKUP($D3,Master_Table!$B$3:$I$9,5,TRUE),"N/A")</f>
        <v>246.28687500000001</v>
      </c>
      <c r="J3" s="58">
        <f>IF($E3="Yes",VLOOKUP($D3,Master_Table!$B$3:$I$9,6,TRUE),"N/A")</f>
        <v>188.198364</v>
      </c>
      <c r="K3" s="58">
        <f>IF($E3="Yes",VLOOKUP($D3,Master_Table!$B$3:$I$9,7,TRUE),"N/A")</f>
        <v>0</v>
      </c>
      <c r="L3" s="58">
        <f>IF($E3="Yes",VLOOKUP($D3,Master_Table!$B$3:$I$9,8,TRUE),"N/A")</f>
        <v>1753.9356932439241</v>
      </c>
    </row>
    <row r="4" spans="1:13" ht="35.25" customHeight="1" x14ac:dyDescent="0.2">
      <c r="A4" s="811"/>
      <c r="B4" s="814"/>
      <c r="C4" s="814"/>
      <c r="D4" s="45" t="s">
        <v>339</v>
      </c>
      <c r="E4" s="47" t="s">
        <v>360</v>
      </c>
      <c r="F4" s="577">
        <f>IF($E4="Yes",VLOOKUP($D4,Master_Table!$B$3:$I$9,2,TRUE),"N/A")</f>
        <v>4</v>
      </c>
      <c r="G4" s="58">
        <f>IF($E4="Yes",VLOOKUP($D4,Master_Table!$B$3:$I$9,3,TRUE),"N/A")</f>
        <v>991.02977939228913</v>
      </c>
      <c r="H4" s="58">
        <f>IF($E4="Yes",VLOOKUP($D4,Master_Table!$B$3:$I$9,4,TRUE),"N/A")</f>
        <v>9.3302633922890941</v>
      </c>
      <c r="I4" s="58">
        <f>IF($E4="Yes",VLOOKUP($D4,Master_Table!$B$3:$I$9,5,TRUE),"N/A")</f>
        <v>542.57000000000005</v>
      </c>
      <c r="J4" s="58">
        <f>IF($E4="Yes",VLOOKUP($D4,Master_Table!$B$3:$I$9,6,TRUE),"N/A")</f>
        <v>439.12951600000002</v>
      </c>
      <c r="K4" s="58">
        <f>IF($E4="Yes",VLOOKUP($D4,Master_Table!$B$3:$I$9,7,TRUE),"N/A")</f>
        <v>0</v>
      </c>
      <c r="L4" s="58">
        <f>IF($E4="Yes",VLOOKUP($D4,Master_Table!$B$3:$I$9,8,TRUE),"N/A")</f>
        <v>3964.1191175691565</v>
      </c>
    </row>
    <row r="5" spans="1:13" ht="35.25" customHeight="1" x14ac:dyDescent="0.2">
      <c r="A5" s="811"/>
      <c r="B5" s="814"/>
      <c r="C5" s="814"/>
      <c r="D5" s="45" t="s">
        <v>340</v>
      </c>
      <c r="E5" s="47" t="s">
        <v>359</v>
      </c>
      <c r="F5" s="35" t="str">
        <f>IF($E5="Yes",VLOOKUP($D5,Master_Table!$B$3:$I$9,2,TRUE),"N/A")</f>
        <v>N/A</v>
      </c>
      <c r="G5" s="35" t="str">
        <f>IF($E5="Yes",VLOOKUP($D5,Master_Table!$B$3:$I$9,3,TRUE),"N/A")</f>
        <v>N/A</v>
      </c>
      <c r="H5" s="35" t="str">
        <f>IF($E5="Yes",VLOOKUP($D5,Master_Table!$B$3:$I$9,4,TRUE),"N/A")</f>
        <v>N/A</v>
      </c>
      <c r="I5" s="35" t="str">
        <f>IF($E5="Yes",VLOOKUP($D5,Master_Table!$B$3:$I$9,5,TRUE),"N/A")</f>
        <v>N/A</v>
      </c>
      <c r="J5" s="35" t="str">
        <f>IF($E5="Yes",VLOOKUP($D5,Master_Table!$B$3:$I$9,6,TRUE),"N/A")</f>
        <v>N/A</v>
      </c>
      <c r="K5" s="35" t="str">
        <f>IF($E5="Yes",VLOOKUP($D5,Master_Table!$B$3:$I$9,7,TRUE),"N/A")</f>
        <v>N/A</v>
      </c>
      <c r="L5" s="35" t="str">
        <f>IF($E5="Yes",VLOOKUP($D5,Master_Table!$B$3:$I$9,8,TRUE),"N/A")</f>
        <v>N/A</v>
      </c>
    </row>
    <row r="6" spans="1:13" ht="35.25" customHeight="1" x14ac:dyDescent="0.2">
      <c r="A6" s="811"/>
      <c r="B6" s="814"/>
      <c r="C6" s="814"/>
      <c r="D6" s="45" t="s">
        <v>341</v>
      </c>
      <c r="E6" s="47" t="s">
        <v>359</v>
      </c>
      <c r="F6" s="35" t="str">
        <f>IF($E6="Yes",VLOOKUP($D6,Master_Table!$B$3:$I$9,2,TRUE),"N/A")</f>
        <v>N/A</v>
      </c>
      <c r="G6" s="35" t="str">
        <f>IF($E6="Yes",VLOOKUP($D6,Master_Table!$B$3:$I$9,3,TRUE),"N/A")</f>
        <v>N/A</v>
      </c>
      <c r="H6" s="35" t="str">
        <f>IF($E6="Yes",VLOOKUP($D6,Master_Table!$B$3:$I$9,4,TRUE),"N/A")</f>
        <v>N/A</v>
      </c>
      <c r="I6" s="35" t="str">
        <f>IF($E6="Yes",VLOOKUP($D6,Master_Table!$B$3:$I$9,5,TRUE),"N/A")</f>
        <v>N/A</v>
      </c>
      <c r="J6" s="35" t="str">
        <f>IF($E6="Yes",VLOOKUP($D6,Master_Table!$B$3:$I$9,6,TRUE),"N/A")</f>
        <v>N/A</v>
      </c>
      <c r="K6" s="35" t="str">
        <f>IF($E6="Yes",VLOOKUP($D6,Master_Table!$B$3:$I$9,7,TRUE),"N/A")</f>
        <v>N/A</v>
      </c>
      <c r="L6" s="35" t="str">
        <f>IF($E6="Yes",VLOOKUP($D6,Master_Table!$B$3:$I$9,8,TRUE),"N/A")</f>
        <v>N/A</v>
      </c>
    </row>
    <row r="7" spans="1:13" ht="35.25" customHeight="1" x14ac:dyDescent="0.2">
      <c r="A7" s="811"/>
      <c r="B7" s="814"/>
      <c r="C7" s="814"/>
      <c r="D7" s="45" t="s">
        <v>342</v>
      </c>
      <c r="E7" s="47" t="s">
        <v>359</v>
      </c>
      <c r="F7" s="58" t="str">
        <f>IF($E7="Yes",VLOOKUP($D7,Master_Table!$B$3:$I$9,2,TRUE),"N/A")</f>
        <v>N/A</v>
      </c>
      <c r="G7" s="58" t="str">
        <f>IF($E7="Yes",VLOOKUP($D7,Master_Table!$B$3:$I$9,3,TRUE),"N/A")</f>
        <v>N/A</v>
      </c>
      <c r="H7" s="58" t="str">
        <f>IF($E7="Yes",VLOOKUP($D7,Master_Table!$B$3:$I$9,4,TRUE),"N/A")</f>
        <v>N/A</v>
      </c>
      <c r="I7" s="58" t="str">
        <f>IF($E7="Yes",VLOOKUP($D7,Master_Table!$B$3:$I$9,5,TRUE),"N/A")</f>
        <v>N/A</v>
      </c>
      <c r="J7" s="58" t="str">
        <f>IF($E7="Yes",VLOOKUP($D7,Master_Table!$B$3:$I$9,6,TRUE),"N/A")</f>
        <v>N/A</v>
      </c>
      <c r="K7" s="58" t="str">
        <f>IF($E7="Yes",VLOOKUP($D7,Master_Table!$B$3:$I$9,7,TRUE),"N/A")</f>
        <v>N/A</v>
      </c>
      <c r="L7" s="58" t="str">
        <f>IF($E7="Yes",VLOOKUP($D7,Master_Table!$B$3:$I$9,8,TRUE),"N/A")</f>
        <v>N/A</v>
      </c>
    </row>
    <row r="8" spans="1:13" ht="35.25" customHeight="1" x14ac:dyDescent="0.2">
      <c r="A8" s="812"/>
      <c r="B8" s="815"/>
      <c r="C8" s="815"/>
      <c r="D8" s="45" t="s">
        <v>343</v>
      </c>
      <c r="E8" s="47" t="s">
        <v>359</v>
      </c>
      <c r="F8" s="58" t="str">
        <f>IF($E8="Yes",VLOOKUP($D8,Master_Table!$B$3:$I$9,2,TRUE),"N/A")</f>
        <v>N/A</v>
      </c>
      <c r="G8" s="58" t="str">
        <f>IF($E8="Yes",VLOOKUP($D8,Master_Table!$B$3:$I$9,3,TRUE),"N/A")</f>
        <v>N/A</v>
      </c>
      <c r="H8" s="58" t="str">
        <f>IF($E8="Yes",VLOOKUP($D8,Master_Table!$B$3:$I$9,4,TRUE),"N/A")</f>
        <v>N/A</v>
      </c>
      <c r="I8" s="58" t="str">
        <f>IF($E8="Yes",VLOOKUP($D8,Master_Table!$B$3:$I$9,5,TRUE),"N/A")</f>
        <v>N/A</v>
      </c>
      <c r="J8" s="58" t="str">
        <f>IF($E8="Yes",VLOOKUP($D8,Master_Table!$B$3:$I$9,6,TRUE),"N/A")</f>
        <v>N/A</v>
      </c>
      <c r="K8" s="58" t="str">
        <f>IF($E8="Yes",VLOOKUP($D8,Master_Table!$B$3:$I$9,7,TRUE),"N/A")</f>
        <v>N/A</v>
      </c>
      <c r="L8" s="58" t="str">
        <f>IF($E8="Yes",VLOOKUP($D8,Master_Table!$B$3:$I$9,8,TRUE),"N/A")</f>
        <v>N/A</v>
      </c>
    </row>
    <row r="9" spans="1:13" ht="25.5" customHeight="1" x14ac:dyDescent="0.2">
      <c r="A9" s="677"/>
      <c r="B9" s="36"/>
      <c r="C9" s="36"/>
    </row>
    <row r="10" spans="1:13" ht="25.5" customHeight="1" x14ac:dyDescent="0.2">
      <c r="A10" s="599"/>
      <c r="B10" s="36"/>
      <c r="C10" s="36"/>
    </row>
    <row r="11" spans="1:13" ht="25.5" customHeight="1" x14ac:dyDescent="0.2">
      <c r="A11" s="36"/>
      <c r="B11" s="36"/>
      <c r="C11" s="36"/>
    </row>
    <row r="12" spans="1:13" s="62" customFormat="1" ht="29.25" customHeight="1" x14ac:dyDescent="0.2">
      <c r="A12" s="37" t="s">
        <v>361</v>
      </c>
      <c r="B12" s="60" t="s">
        <v>362</v>
      </c>
      <c r="C12" s="59" t="s">
        <v>362</v>
      </c>
      <c r="D12" s="59" t="s">
        <v>362</v>
      </c>
      <c r="E12" s="59" t="s">
        <v>362</v>
      </c>
      <c r="F12" s="59" t="s">
        <v>362</v>
      </c>
      <c r="G12" s="59" t="s">
        <v>362</v>
      </c>
      <c r="H12" s="59" t="s">
        <v>362</v>
      </c>
      <c r="I12" s="59" t="s">
        <v>362</v>
      </c>
      <c r="J12" s="59" t="s">
        <v>362</v>
      </c>
      <c r="K12" s="59" t="s">
        <v>362</v>
      </c>
      <c r="L12" s="65" t="s">
        <v>362</v>
      </c>
      <c r="M12" s="125" t="s">
        <v>362</v>
      </c>
    </row>
    <row r="13" spans="1:13" s="62" customFormat="1" ht="29.25" customHeight="1" x14ac:dyDescent="0.2">
      <c r="A13" s="37" t="s">
        <v>72</v>
      </c>
      <c r="B13" s="129"/>
      <c r="C13" s="85"/>
      <c r="D13" s="85"/>
      <c r="E13" s="85"/>
      <c r="F13" s="85"/>
      <c r="G13" s="85"/>
      <c r="H13" s="85"/>
      <c r="I13" s="85"/>
      <c r="J13" s="85"/>
      <c r="K13" s="85"/>
      <c r="L13" s="130"/>
      <c r="M13" s="90"/>
    </row>
    <row r="14" spans="1:13" ht="16" x14ac:dyDescent="0.2">
      <c r="A14" s="71" t="s">
        <v>74</v>
      </c>
      <c r="B14" s="96"/>
      <c r="C14" s="97"/>
      <c r="D14" s="98"/>
      <c r="E14" s="97"/>
      <c r="F14" s="97"/>
      <c r="G14" s="97"/>
      <c r="H14" s="97"/>
      <c r="I14" s="97"/>
      <c r="J14" s="97"/>
      <c r="K14" s="99"/>
      <c r="L14" s="598"/>
      <c r="M14" s="117"/>
    </row>
    <row r="15" spans="1:13" ht="16" x14ac:dyDescent="0.2">
      <c r="A15" s="71" t="s">
        <v>76</v>
      </c>
      <c r="B15" s="96"/>
      <c r="C15" s="97"/>
      <c r="D15" s="98"/>
      <c r="E15" s="97"/>
      <c r="F15" s="97"/>
      <c r="G15" s="97"/>
      <c r="H15" s="97"/>
      <c r="I15" s="97"/>
      <c r="J15" s="97"/>
      <c r="K15" s="97"/>
      <c r="L15" s="117"/>
      <c r="M15" s="117"/>
    </row>
    <row r="16" spans="1:13" ht="16" x14ac:dyDescent="0.2">
      <c r="A16" s="71" t="s">
        <v>363</v>
      </c>
      <c r="B16" s="96"/>
      <c r="C16" s="97"/>
      <c r="D16" s="97"/>
      <c r="E16" s="97"/>
      <c r="F16" s="97"/>
      <c r="G16" s="97"/>
      <c r="H16" s="97"/>
      <c r="I16" s="97"/>
      <c r="J16" s="97"/>
      <c r="K16" s="97"/>
      <c r="L16" s="117"/>
      <c r="M16" s="117"/>
    </row>
    <row r="17" spans="1:27" ht="16" x14ac:dyDescent="0.2">
      <c r="A17" s="71" t="s">
        <v>364</v>
      </c>
      <c r="B17" s="96"/>
      <c r="C17" s="97"/>
      <c r="D17" s="97"/>
      <c r="E17" s="97"/>
      <c r="F17" s="97"/>
      <c r="G17" s="97"/>
      <c r="H17" s="97"/>
      <c r="I17" s="97"/>
      <c r="J17" s="97"/>
      <c r="K17" s="97"/>
      <c r="L17" s="117"/>
      <c r="M17" s="117"/>
    </row>
    <row r="18" spans="1:27" ht="16" thickBot="1" x14ac:dyDescent="0.25"/>
    <row r="19" spans="1:27" ht="33" thickTop="1" x14ac:dyDescent="0.2">
      <c r="A19" s="37" t="s">
        <v>365</v>
      </c>
      <c r="B19" s="100" t="s">
        <v>366</v>
      </c>
      <c r="C19" s="101" t="s">
        <v>367</v>
      </c>
      <c r="D19" s="101" t="s">
        <v>368</v>
      </c>
      <c r="E19" s="101" t="s">
        <v>369</v>
      </c>
      <c r="F19" s="101" t="s">
        <v>370</v>
      </c>
      <c r="G19" s="101" t="s">
        <v>371</v>
      </c>
      <c r="H19" s="102" t="s">
        <v>372</v>
      </c>
      <c r="J19" s="63"/>
    </row>
    <row r="20" spans="1:27" ht="16" x14ac:dyDescent="0.2">
      <c r="A20" s="71" t="s">
        <v>74</v>
      </c>
      <c r="B20" s="111"/>
      <c r="C20" s="85"/>
      <c r="D20" s="86"/>
      <c r="E20" s="85"/>
      <c r="F20" s="87"/>
      <c r="G20" s="87"/>
      <c r="H20" s="48"/>
      <c r="J20" s="63"/>
    </row>
    <row r="21" spans="1:27" ht="16" x14ac:dyDescent="0.2">
      <c r="A21" s="71" t="s">
        <v>76</v>
      </c>
      <c r="B21" s="89"/>
      <c r="C21" s="90"/>
      <c r="D21" s="90"/>
      <c r="E21" s="90"/>
      <c r="F21" s="90"/>
      <c r="G21" s="90"/>
      <c r="H21" s="91"/>
    </row>
    <row r="22" spans="1:27" ht="16" x14ac:dyDescent="0.2">
      <c r="A22" s="71" t="s">
        <v>363</v>
      </c>
      <c r="B22" s="89"/>
      <c r="C22" s="90"/>
      <c r="D22" s="90"/>
      <c r="E22" s="90"/>
      <c r="F22" s="90"/>
      <c r="G22" s="90"/>
      <c r="H22" s="91"/>
    </row>
    <row r="23" spans="1:27" ht="17" thickBot="1" x14ac:dyDescent="0.25">
      <c r="A23" s="71" t="s">
        <v>364</v>
      </c>
      <c r="B23" s="92"/>
      <c r="C23" s="93"/>
      <c r="D23" s="93"/>
      <c r="E23" s="93"/>
      <c r="F23" s="93"/>
      <c r="G23" s="93"/>
      <c r="H23" s="94"/>
    </row>
    <row r="24" spans="1:27" ht="16" thickTop="1" x14ac:dyDescent="0.2">
      <c r="A24" s="63"/>
      <c r="D24" s="63"/>
      <c r="E24" s="63"/>
      <c r="F24" s="63"/>
    </row>
    <row r="25" spans="1:27" ht="5.25" customHeight="1" x14ac:dyDescent="0.2">
      <c r="A25" s="63"/>
      <c r="D25" s="63"/>
      <c r="E25" s="63"/>
      <c r="F25" s="63"/>
    </row>
    <row r="26" spans="1:27" ht="55.5" customHeight="1" x14ac:dyDescent="0.2">
      <c r="A26" s="37" t="s">
        <v>373</v>
      </c>
      <c r="B26" s="60" t="s">
        <v>374</v>
      </c>
      <c r="C26" s="59" t="s">
        <v>375</v>
      </c>
      <c r="D26" s="59" t="s">
        <v>376</v>
      </c>
      <c r="E26" s="59" t="s">
        <v>377</v>
      </c>
      <c r="F26" s="60" t="s">
        <v>378</v>
      </c>
      <c r="G26" s="59" t="s">
        <v>379</v>
      </c>
      <c r="H26" s="59" t="s">
        <v>380</v>
      </c>
      <c r="I26" s="59" t="s">
        <v>381</v>
      </c>
      <c r="J26" s="60" t="s">
        <v>382</v>
      </c>
      <c r="K26" s="59" t="s">
        <v>24</v>
      </c>
      <c r="L26" s="59" t="s">
        <v>26</v>
      </c>
      <c r="M26" s="59" t="s">
        <v>28</v>
      </c>
      <c r="N26" s="59" t="s">
        <v>383</v>
      </c>
      <c r="O26" s="59" t="s">
        <v>384</v>
      </c>
      <c r="P26" s="59" t="s">
        <v>385</v>
      </c>
      <c r="Q26" s="59" t="s">
        <v>386</v>
      </c>
      <c r="R26" s="59" t="s">
        <v>387</v>
      </c>
      <c r="S26" s="59" t="s">
        <v>388</v>
      </c>
      <c r="T26" s="59" t="s">
        <v>389</v>
      </c>
      <c r="U26" s="59" t="s">
        <v>390</v>
      </c>
      <c r="V26" s="59" t="s">
        <v>391</v>
      </c>
      <c r="W26" s="59" t="s">
        <v>392</v>
      </c>
      <c r="X26" s="59" t="s">
        <v>393</v>
      </c>
      <c r="Y26" s="59" t="s">
        <v>394</v>
      </c>
      <c r="Z26" s="59" t="s">
        <v>395</v>
      </c>
      <c r="AA26" s="68" t="s">
        <v>396</v>
      </c>
    </row>
    <row r="27" spans="1:27" ht="44.25" customHeight="1" x14ac:dyDescent="0.2">
      <c r="A27" s="37" t="s">
        <v>72</v>
      </c>
      <c r="B27" s="51" t="s">
        <v>397</v>
      </c>
      <c r="C27" s="51" t="s">
        <v>397</v>
      </c>
      <c r="D27" s="51" t="s">
        <v>397</v>
      </c>
      <c r="E27" s="51" t="s">
        <v>397</v>
      </c>
      <c r="F27" s="51" t="s">
        <v>397</v>
      </c>
      <c r="G27" s="51" t="s">
        <v>397</v>
      </c>
      <c r="H27" s="51" t="s">
        <v>397</v>
      </c>
      <c r="I27" s="51" t="s">
        <v>397</v>
      </c>
      <c r="J27" s="51" t="s">
        <v>397</v>
      </c>
      <c r="K27" s="51" t="s">
        <v>397</v>
      </c>
      <c r="L27" s="51" t="s">
        <v>397</v>
      </c>
      <c r="M27" s="51" t="s">
        <v>397</v>
      </c>
      <c r="N27" s="66" t="s">
        <v>151</v>
      </c>
      <c r="O27" s="66"/>
      <c r="P27" s="66"/>
      <c r="Q27" s="66"/>
      <c r="R27" s="66" t="s">
        <v>398</v>
      </c>
      <c r="S27" s="51" t="s">
        <v>397</v>
      </c>
      <c r="T27" s="66" t="s">
        <v>398</v>
      </c>
      <c r="U27" s="51" t="s">
        <v>397</v>
      </c>
      <c r="V27" s="51" t="s">
        <v>397</v>
      </c>
      <c r="W27" s="51" t="s">
        <v>397</v>
      </c>
      <c r="X27" s="51" t="s">
        <v>397</v>
      </c>
      <c r="Y27" s="51" t="s">
        <v>397</v>
      </c>
      <c r="Z27" s="51" t="s">
        <v>397</v>
      </c>
      <c r="AA27" s="455" t="s">
        <v>397</v>
      </c>
    </row>
    <row r="28" spans="1:27" ht="115.5" customHeight="1" x14ac:dyDescent="0.2">
      <c r="A28" s="37"/>
      <c r="B28" s="37"/>
      <c r="C28" s="37"/>
      <c r="D28" s="37"/>
      <c r="E28" s="37"/>
      <c r="F28" s="37"/>
      <c r="G28" s="37"/>
      <c r="H28" s="37"/>
      <c r="I28" s="37"/>
      <c r="J28" s="37"/>
      <c r="K28" s="37"/>
      <c r="L28" s="37"/>
      <c r="M28" s="37"/>
      <c r="N28" s="37"/>
      <c r="O28" s="37"/>
      <c r="P28" s="37"/>
      <c r="Q28" s="37"/>
      <c r="R28" s="37"/>
      <c r="S28" s="37"/>
      <c r="T28" s="37"/>
      <c r="U28" s="37"/>
      <c r="V28" s="16"/>
      <c r="W28" s="592"/>
      <c r="X28" s="592"/>
      <c r="Y28" s="592"/>
      <c r="Z28" s="592"/>
      <c r="AA28" s="592"/>
    </row>
    <row r="29" spans="1:27" ht="16" x14ac:dyDescent="0.2">
      <c r="A29" s="71" t="s">
        <v>74</v>
      </c>
      <c r="B29" s="73">
        <v>0</v>
      </c>
      <c r="C29" s="73">
        <f>P39*Z50</f>
        <v>150</v>
      </c>
      <c r="D29" s="73">
        <v>0</v>
      </c>
      <c r="E29" s="73">
        <f>P39*AB50</f>
        <v>900</v>
      </c>
      <c r="F29" s="73">
        <v>0</v>
      </c>
      <c r="G29" s="73">
        <f>Q39*Z50</f>
        <v>72.285714285714278</v>
      </c>
      <c r="H29" s="73">
        <v>0</v>
      </c>
      <c r="I29" s="73">
        <f>Q39*AB50</f>
        <v>433.71428571428567</v>
      </c>
      <c r="J29" s="690">
        <v>0</v>
      </c>
      <c r="K29" s="690">
        <f>R39*Z50</f>
        <v>72.857142857142847</v>
      </c>
      <c r="L29" s="690">
        <f>R39*AA50</f>
        <v>0</v>
      </c>
      <c r="M29" s="690">
        <f>R39*AB50</f>
        <v>437.14285714285711</v>
      </c>
      <c r="N29" s="66">
        <v>1</v>
      </c>
      <c r="O29" s="66">
        <f>(E29+I29+M29)*'Master Inputs '!D23+(B29+F29+J29)*'Master Inputs '!D24+(C29+D29+G29+H29+K29+L29)*'Master Inputs '!D25</f>
        <v>8.5001142857142842</v>
      </c>
      <c r="P29" s="66">
        <f>(E29+I29+M29)*'Master Inputs '!E23+(B29+F29+J29)*'Master Inputs '!E24+(C29+D29+G29+H29+K29+L29)*'Master Inputs '!E25</f>
        <v>827.4927955270723</v>
      </c>
      <c r="Q29" s="66">
        <f>(E29+I29+M29)*'Master Inputs '!F23+(B29+F29+J29)*'Master Inputs '!F24+(C29+D29+G29+H29+K29+L29)*'Master Inputs '!F25</f>
        <v>40.139428571428567</v>
      </c>
      <c r="R29" s="66">
        <f>(M29)*'Master Inputs '!C23+(J29)*'Master Inputs '!C24+(K29+L29)*'Master Inputs '!C25</f>
        <v>216.27661789736192</v>
      </c>
      <c r="S29" s="689">
        <v>0.4</v>
      </c>
      <c r="T29" s="66">
        <f>N29*R29*S29</f>
        <v>86.510647158944778</v>
      </c>
      <c r="U29" s="73">
        <v>10</v>
      </c>
      <c r="V29" s="338">
        <f>3640/1000</f>
        <v>3.64</v>
      </c>
      <c r="W29" s="494"/>
      <c r="X29" s="338">
        <f>3640/1000</f>
        <v>3.64</v>
      </c>
      <c r="Y29" s="494"/>
      <c r="Z29" s="687">
        <v>2.5169999999999999</v>
      </c>
      <c r="AA29" s="688"/>
    </row>
    <row r="30" spans="1:27" ht="16" x14ac:dyDescent="0.2">
      <c r="A30" s="71" t="s">
        <v>76</v>
      </c>
      <c r="B30" s="73">
        <v>0</v>
      </c>
      <c r="C30" s="73">
        <f>P40*Z51</f>
        <v>650</v>
      </c>
      <c r="D30" s="73">
        <v>0</v>
      </c>
      <c r="E30" s="73">
        <f>P40*AB51</f>
        <v>2971.4285714285711</v>
      </c>
      <c r="F30" s="73">
        <v>0</v>
      </c>
      <c r="G30" s="73">
        <f>Q40*Z51</f>
        <v>311.33333333333331</v>
      </c>
      <c r="H30" s="73">
        <v>0</v>
      </c>
      <c r="I30" s="73">
        <f>Q40*AB51</f>
        <v>1423.2380952380952</v>
      </c>
      <c r="J30" s="690">
        <v>0</v>
      </c>
      <c r="K30" s="690">
        <f>R40*Z51</f>
        <v>313.33333333333331</v>
      </c>
      <c r="L30" s="690">
        <f>R40*AA51</f>
        <v>0</v>
      </c>
      <c r="M30" s="690">
        <f>R40*AB51</f>
        <v>1432.3809523809523</v>
      </c>
      <c r="N30" s="66">
        <v>0.5</v>
      </c>
      <c r="O30" s="66">
        <f>(E30+I30+M30)*'Master Inputs '!D23+(B30+F30+J30)*'Master Inputs '!D24+(C30+D30+G30+H30+K30+L30)*'Master Inputs '!D25</f>
        <v>31.466057142857132</v>
      </c>
      <c r="P30" s="66">
        <f>(E30+I30+M30)*'Master Inputs '!E23+(B30+F30+J30)*'Master Inputs '!E24+(C30+D30+G30+H30+K30+L30)*'Master Inputs '!E25</f>
        <v>3431.9693311602173</v>
      </c>
      <c r="Q30" s="66">
        <f>(E30+I30+M30)*'Master Inputs '!F23+(B30+F30+J30)*'Master Inputs '!F24+(C30+D30+G30+H30+K30+L30)*'Master Inputs '!F25</f>
        <v>157.87657142857142</v>
      </c>
      <c r="R30" s="66">
        <f>(M30)*'Master Inputs '!C23+(J30)*'Master Inputs '!C24+(K30+L30)*'Master Inputs '!C25</f>
        <v>890.17605704700486</v>
      </c>
      <c r="S30" s="689">
        <v>0.4</v>
      </c>
      <c r="T30" s="66">
        <f>N30*R30*S30</f>
        <v>178.03521140940097</v>
      </c>
      <c r="U30" s="73">
        <v>10</v>
      </c>
      <c r="V30" s="338">
        <f>6760/1000</f>
        <v>6.76</v>
      </c>
      <c r="W30" s="494"/>
      <c r="X30" s="338">
        <f>6760/1000</f>
        <v>6.76</v>
      </c>
      <c r="Y30" s="494"/>
      <c r="Z30" s="687">
        <v>5.0330000000000004</v>
      </c>
      <c r="AA30" s="688"/>
    </row>
    <row r="31" spans="1:27" ht="16" x14ac:dyDescent="0.2">
      <c r="A31" s="71" t="s">
        <v>363</v>
      </c>
      <c r="B31" s="73"/>
      <c r="C31" s="73"/>
      <c r="D31" s="73"/>
      <c r="E31" s="73"/>
      <c r="F31" s="73"/>
      <c r="G31" s="73"/>
      <c r="H31" s="73"/>
      <c r="I31" s="73"/>
      <c r="J31" s="73"/>
      <c r="K31" s="73"/>
      <c r="L31" s="73"/>
      <c r="M31" s="73"/>
      <c r="N31" s="66"/>
      <c r="O31" s="66"/>
      <c r="P31" s="66"/>
      <c r="Q31" s="66"/>
      <c r="R31" s="66"/>
      <c r="S31" s="74"/>
      <c r="T31" s="66">
        <f>N31*R31*S31</f>
        <v>0</v>
      </c>
      <c r="U31" s="73">
        <v>10</v>
      </c>
      <c r="V31" s="338"/>
      <c r="W31" s="494"/>
      <c r="X31" s="338"/>
      <c r="Y31" s="494"/>
      <c r="Z31" s="338"/>
      <c r="AA31" s="37"/>
    </row>
    <row r="32" spans="1:27" s="62" customFormat="1" ht="16" x14ac:dyDescent="0.2">
      <c r="A32" s="71" t="s">
        <v>364</v>
      </c>
      <c r="B32" s="73"/>
      <c r="C32" s="73"/>
      <c r="D32" s="73"/>
      <c r="E32" s="73"/>
      <c r="F32" s="73"/>
      <c r="G32" s="73"/>
      <c r="H32" s="73"/>
      <c r="I32" s="73">
        <f>SUM(F29:I31)</f>
        <v>2240.5714285714284</v>
      </c>
      <c r="J32" s="73"/>
      <c r="K32" s="73"/>
      <c r="L32" s="73"/>
      <c r="M32" s="73">
        <f>SUM(J29:M31)</f>
        <v>2255.7142857142853</v>
      </c>
      <c r="N32" s="66"/>
      <c r="O32" s="66"/>
      <c r="P32" s="66"/>
      <c r="Q32" s="66"/>
      <c r="R32" s="66"/>
      <c r="S32" s="73"/>
      <c r="T32" s="66"/>
      <c r="U32" s="73"/>
      <c r="V32" s="293">
        <f>SUM(V29:V31)</f>
        <v>10.4</v>
      </c>
      <c r="W32" s="37"/>
      <c r="X32" s="293">
        <f>7.892357</f>
        <v>7.8923569999999996</v>
      </c>
      <c r="Y32" s="37"/>
      <c r="Z32" s="293">
        <v>10.4</v>
      </c>
      <c r="AA32" s="37"/>
    </row>
    <row r="33" spans="1:32" s="62" customFormat="1" ht="16" thickBot="1" x14ac:dyDescent="0.25">
      <c r="A33" s="816"/>
      <c r="B33" s="816"/>
      <c r="C33" s="816"/>
      <c r="D33" s="63"/>
      <c r="E33" s="63"/>
    </row>
    <row r="34" spans="1:32" s="62" customFormat="1" ht="33" thickTop="1" x14ac:dyDescent="0.2">
      <c r="A34" s="37" t="s">
        <v>399</v>
      </c>
      <c r="B34" s="100"/>
      <c r="C34" s="101"/>
      <c r="D34" s="101"/>
      <c r="E34" s="101"/>
      <c r="F34" s="101" t="s">
        <v>400</v>
      </c>
      <c r="G34" s="101" t="s">
        <v>401</v>
      </c>
      <c r="H34" s="101" t="s">
        <v>402</v>
      </c>
      <c r="I34" s="101" t="s">
        <v>403</v>
      </c>
      <c r="J34" s="119" t="s">
        <v>404</v>
      </c>
      <c r="K34" s="119" t="s">
        <v>405</v>
      </c>
      <c r="L34" s="102" t="s">
        <v>406</v>
      </c>
      <c r="M34" s="557" t="s">
        <v>407</v>
      </c>
    </row>
    <row r="35" spans="1:32" s="62" customFormat="1" ht="16" x14ac:dyDescent="0.2">
      <c r="A35" s="71" t="s">
        <v>74</v>
      </c>
      <c r="B35" s="120"/>
      <c r="C35" s="122"/>
      <c r="D35" s="121"/>
      <c r="E35" s="122"/>
      <c r="F35" s="122">
        <f>SUM(Z29)</f>
        <v>2.5169999999999999</v>
      </c>
      <c r="G35" s="122">
        <f>SUM(AA29)</f>
        <v>0</v>
      </c>
      <c r="H35" s="127">
        <f>SUM(F35,G35)</f>
        <v>2.5169999999999999</v>
      </c>
      <c r="I35" s="122">
        <f>PV('Master Inputs '!Benefit_Discount_Factor,U29,-1)</f>
        <v>8.5302028367758282</v>
      </c>
      <c r="J35" s="128">
        <f>T29</f>
        <v>86.510647158944778</v>
      </c>
      <c r="K35" s="128">
        <f>IFERROR(J35+E20,"-")</f>
        <v>86.510647158944778</v>
      </c>
      <c r="L35" s="131">
        <f>IFERROR(K35*I35/H35,"-")</f>
        <v>293.18767096008878</v>
      </c>
      <c r="M35" s="558">
        <f>+IFERROR(K35*I35/Z29,0)</f>
        <v>293.18767096008878</v>
      </c>
    </row>
    <row r="36" spans="1:32" s="62" customFormat="1" ht="70.5" customHeight="1" x14ac:dyDescent="0.2">
      <c r="A36" s="71" t="s">
        <v>76</v>
      </c>
      <c r="B36" s="120"/>
      <c r="C36" s="122"/>
      <c r="D36" s="121"/>
      <c r="E36" s="122"/>
      <c r="F36" s="122">
        <f t="shared" ref="F36:F37" si="0">SUM(Z30)</f>
        <v>5.0330000000000004</v>
      </c>
      <c r="G36" s="122">
        <f>SUM(AA30)</f>
        <v>0</v>
      </c>
      <c r="H36" s="127">
        <f>SUM(F36,G36)</f>
        <v>5.0330000000000004</v>
      </c>
      <c r="I36" s="122">
        <f>PV('Master Inputs '!Benefit_Discount_Factor,U30,-1)</f>
        <v>8.5302028367758282</v>
      </c>
      <c r="J36" s="128">
        <f>T30</f>
        <v>178.03521140940097</v>
      </c>
      <c r="K36" s="128">
        <f>IFERROR(J36+E21,"-")</f>
        <v>178.03521140940097</v>
      </c>
      <c r="L36" s="131">
        <f>IFERROR(K36*I36/H36,"-")</f>
        <v>301.74378410698517</v>
      </c>
      <c r="M36" s="558">
        <f t="shared" ref="M36:M37" si="1">+IFERROR(K36*I36/Z30,0)</f>
        <v>301.74378410698517</v>
      </c>
      <c r="O36" s="283"/>
      <c r="P36" s="283"/>
      <c r="Q36" s="283"/>
    </row>
    <row r="37" spans="1:32" s="62" customFormat="1" ht="16" x14ac:dyDescent="0.2">
      <c r="A37" s="71" t="s">
        <v>363</v>
      </c>
      <c r="B37" s="120"/>
      <c r="C37" s="122"/>
      <c r="D37" s="121"/>
      <c r="E37" s="503"/>
      <c r="F37" s="122">
        <f t="shared" si="0"/>
        <v>0</v>
      </c>
      <c r="G37" s="122">
        <f>SUM(AA31)</f>
        <v>0</v>
      </c>
      <c r="H37" s="127">
        <f>SUM(F37,G37)</f>
        <v>0</v>
      </c>
      <c r="I37" s="122">
        <f>PV('Master Inputs '!Benefit_Discount_Factor,U31,-1)</f>
        <v>8.5302028367758282</v>
      </c>
      <c r="J37" s="128">
        <f>T31</f>
        <v>0</v>
      </c>
      <c r="K37" s="128">
        <f>IFERROR(J37+E22,"-")</f>
        <v>0</v>
      </c>
      <c r="L37" s="131" t="str">
        <f>IFERROR(K37*I37/H37,"-")</f>
        <v>-</v>
      </c>
      <c r="M37" s="558">
        <f t="shared" si="1"/>
        <v>0</v>
      </c>
      <c r="O37" s="283"/>
      <c r="P37" s="283"/>
      <c r="Q37" s="283"/>
      <c r="T37" s="551"/>
      <c r="U37" s="551"/>
      <c r="V37" s="104"/>
      <c r="W37" s="551"/>
      <c r="AC37" s="551"/>
      <c r="AD37" s="551"/>
      <c r="AE37" s="104"/>
      <c r="AF37" s="551"/>
    </row>
    <row r="38" spans="1:32" s="62" customFormat="1" ht="17" thickBot="1" x14ac:dyDescent="0.25">
      <c r="A38" s="71" t="s">
        <v>364</v>
      </c>
      <c r="B38" s="92"/>
      <c r="C38" s="160"/>
      <c r="D38" s="504"/>
      <c r="E38" s="93"/>
      <c r="F38" s="503"/>
      <c r="G38" s="93"/>
      <c r="H38" s="93"/>
      <c r="I38" s="160"/>
      <c r="J38" s="123"/>
      <c r="K38" s="123"/>
      <c r="L38" s="94"/>
      <c r="M38" s="558"/>
      <c r="O38" s="62" t="s">
        <v>408</v>
      </c>
      <c r="T38" s="551"/>
      <c r="U38" s="551"/>
      <c r="V38" s="104"/>
      <c r="W38" s="551"/>
      <c r="AC38" s="551"/>
      <c r="AD38" s="551"/>
      <c r="AE38" s="104"/>
      <c r="AF38" s="551"/>
    </row>
    <row r="39" spans="1:32" s="62" customFormat="1" ht="17" thickTop="1" x14ac:dyDescent="0.2">
      <c r="A39" s="103"/>
      <c r="B39" s="103"/>
      <c r="C39" s="104"/>
      <c r="D39" s="591"/>
      <c r="F39" s="95"/>
      <c r="O39" s="394" t="s">
        <v>74</v>
      </c>
      <c r="P39" s="394">
        <v>1050</v>
      </c>
      <c r="Q39" s="394">
        <v>506</v>
      </c>
      <c r="R39" s="394">
        <v>510</v>
      </c>
      <c r="W39" s="552"/>
      <c r="AF39" s="552"/>
    </row>
    <row r="40" spans="1:32" s="62" customFormat="1" ht="16" x14ac:dyDescent="0.2">
      <c r="M40" s="283"/>
      <c r="N40" s="283"/>
      <c r="O40" s="394" t="s">
        <v>76</v>
      </c>
      <c r="P40" s="394">
        <v>1950</v>
      </c>
      <c r="Q40" s="394">
        <v>934</v>
      </c>
      <c r="R40" s="394">
        <v>940</v>
      </c>
      <c r="W40" s="552"/>
      <c r="AF40" s="552"/>
    </row>
    <row r="41" spans="1:32" s="62" customFormat="1" x14ac:dyDescent="0.2">
      <c r="M41" s="283"/>
      <c r="N41" s="283"/>
      <c r="O41" s="63"/>
      <c r="P41" s="63"/>
      <c r="Q41" s="63"/>
    </row>
    <row r="42" spans="1:32" s="62" customFormat="1" x14ac:dyDescent="0.2">
      <c r="M42" s="283"/>
      <c r="N42" s="283"/>
      <c r="R42" s="283"/>
    </row>
    <row r="43" spans="1:32" s="62" customFormat="1" x14ac:dyDescent="0.2">
      <c r="C43" s="106"/>
      <c r="F43" s="106"/>
      <c r="G43" s="106"/>
      <c r="K43" s="103"/>
      <c r="R43" s="283"/>
    </row>
    <row r="44" spans="1:32" s="62" customFormat="1" x14ac:dyDescent="0.2">
      <c r="F44" s="63"/>
      <c r="K44" s="63"/>
      <c r="M44" s="63"/>
      <c r="N44" s="63"/>
      <c r="R44" s="36"/>
    </row>
    <row r="45" spans="1:32" s="62" customFormat="1" x14ac:dyDescent="0.2">
      <c r="F45" s="63"/>
      <c r="K45" s="63"/>
      <c r="M45" s="63"/>
      <c r="N45" s="63"/>
      <c r="R45" s="283"/>
    </row>
    <row r="46" spans="1:32" s="62" customFormat="1" x14ac:dyDescent="0.2">
      <c r="A46" s="63"/>
      <c r="B46" s="63"/>
      <c r="C46" s="107"/>
      <c r="F46" s="63"/>
      <c r="G46" s="107"/>
      <c r="K46" s="63"/>
      <c r="R46" s="283"/>
    </row>
    <row r="47" spans="1:32" s="62" customFormat="1" x14ac:dyDescent="0.2">
      <c r="A47" s="63"/>
      <c r="B47" s="63"/>
      <c r="F47" s="63"/>
      <c r="K47" s="63"/>
      <c r="R47" s="283"/>
    </row>
    <row r="48" spans="1:32" s="62" customFormat="1" x14ac:dyDescent="0.2">
      <c r="A48" s="63"/>
      <c r="B48" s="63"/>
      <c r="R48" s="283"/>
    </row>
    <row r="49" spans="1:28" s="62" customFormat="1" ht="48" x14ac:dyDescent="0.2">
      <c r="A49" s="63"/>
      <c r="B49" s="63"/>
      <c r="C49" s="108"/>
      <c r="D49" s="107"/>
      <c r="E49" s="108"/>
      <c r="F49" s="108"/>
      <c r="S49" s="394"/>
      <c r="T49" s="60" t="s">
        <v>409</v>
      </c>
      <c r="U49" s="59" t="s">
        <v>44</v>
      </c>
      <c r="V49" s="59" t="s">
        <v>45</v>
      </c>
      <c r="W49" s="59" t="s">
        <v>46</v>
      </c>
      <c r="X49" s="394" t="s">
        <v>410</v>
      </c>
      <c r="Y49" s="394" t="s">
        <v>411</v>
      </c>
      <c r="Z49" s="394" t="s">
        <v>173</v>
      </c>
      <c r="AA49" s="394" t="s">
        <v>412</v>
      </c>
      <c r="AB49" s="394" t="s">
        <v>413</v>
      </c>
    </row>
    <row r="50" spans="1:28" s="62" customFormat="1" ht="16" x14ac:dyDescent="0.2">
      <c r="A50" s="63"/>
      <c r="B50" s="63"/>
      <c r="S50" s="394" t="s">
        <v>74</v>
      </c>
      <c r="T50" s="72">
        <v>0</v>
      </c>
      <c r="U50" s="73">
        <v>150</v>
      </c>
      <c r="V50" s="73">
        <v>0</v>
      </c>
      <c r="W50" s="73">
        <v>900</v>
      </c>
      <c r="X50" s="394">
        <f>SUM(T50:W50)</f>
        <v>1050</v>
      </c>
      <c r="Y50" s="394">
        <f>T50/1050</f>
        <v>0</v>
      </c>
      <c r="Z50" s="394">
        <f t="shared" ref="Z50:AB50" si="2">U50/1050</f>
        <v>0.14285714285714285</v>
      </c>
      <c r="AA50" s="394">
        <f t="shared" si="2"/>
        <v>0</v>
      </c>
      <c r="AB50" s="394">
        <f t="shared" si="2"/>
        <v>0.8571428571428571</v>
      </c>
    </row>
    <row r="51" spans="1:28" s="62" customFormat="1" ht="16" x14ac:dyDescent="0.2">
      <c r="A51" s="63"/>
      <c r="B51" s="63"/>
      <c r="S51" s="394" t="s">
        <v>76</v>
      </c>
      <c r="T51" s="72">
        <v>0</v>
      </c>
      <c r="U51" s="73">
        <v>350</v>
      </c>
      <c r="V51" s="73">
        <v>0</v>
      </c>
      <c r="W51" s="73">
        <v>1600</v>
      </c>
      <c r="X51" s="394">
        <f>SUM(T51:W51)</f>
        <v>1950</v>
      </c>
      <c r="Y51" s="394">
        <f>T51/1050</f>
        <v>0</v>
      </c>
      <c r="Z51" s="394">
        <f t="shared" ref="Z51" si="3">U51/1050</f>
        <v>0.33333333333333331</v>
      </c>
      <c r="AA51" s="394">
        <f t="shared" ref="AA51" si="4">V51/1050</f>
        <v>0</v>
      </c>
      <c r="AB51" s="394">
        <f t="shared" ref="AB51" si="5">W51/1050</f>
        <v>1.5238095238095237</v>
      </c>
    </row>
    <row r="52" spans="1:28" x14ac:dyDescent="0.2">
      <c r="A52" s="63"/>
      <c r="B52" s="63"/>
    </row>
    <row r="53" spans="1:28" s="62" customFormat="1" x14ac:dyDescent="0.2">
      <c r="A53" s="63"/>
      <c r="B53" s="63"/>
    </row>
    <row r="54" spans="1:28" x14ac:dyDescent="0.2">
      <c r="A54" s="63"/>
      <c r="B54" s="63"/>
    </row>
    <row r="55" spans="1:28" x14ac:dyDescent="0.2">
      <c r="A55" s="63"/>
      <c r="B55" s="63"/>
    </row>
    <row r="61" spans="1:28" x14ac:dyDescent="0.2">
      <c r="W61" s="63" t="s">
        <v>414</v>
      </c>
    </row>
    <row r="62" spans="1:28" x14ac:dyDescent="0.2">
      <c r="Q62" s="382"/>
      <c r="R62" s="382" t="s">
        <v>415</v>
      </c>
      <c r="S62" s="382" t="s">
        <v>416</v>
      </c>
      <c r="T62" s="382" t="s">
        <v>417</v>
      </c>
      <c r="U62" s="382" t="s">
        <v>418</v>
      </c>
      <c r="X62" s="63">
        <v>2024</v>
      </c>
      <c r="Y62" s="63">
        <v>2025</v>
      </c>
      <c r="Z62" s="63">
        <v>2026</v>
      </c>
      <c r="AA62" s="63">
        <v>2027</v>
      </c>
    </row>
    <row r="63" spans="1:28" ht="34" x14ac:dyDescent="0.2">
      <c r="Q63" s="678" t="s">
        <v>419</v>
      </c>
      <c r="R63" s="679">
        <v>6.7849999999999994E-2</v>
      </c>
      <c r="S63" s="680">
        <v>1.6652255938304439E-2</v>
      </c>
      <c r="T63" s="680">
        <v>2.1068244683025483E-2</v>
      </c>
      <c r="U63" s="680">
        <v>2.2648989055561231E-2</v>
      </c>
      <c r="W63" s="63" t="s">
        <v>74</v>
      </c>
      <c r="X63" s="63">
        <f>+Z29*(1+R63)</f>
        <v>2.6877784499999997</v>
      </c>
      <c r="Y63" s="63">
        <f>+X63*(1+S63)</f>
        <v>2.7325360246548591</v>
      </c>
      <c r="Z63" s="63">
        <f t="shared" ref="Z63:AA63" si="6">+Y63*(1+T63)</f>
        <v>2.7901057622274696</v>
      </c>
      <c r="AA63" s="63">
        <f t="shared" si="6"/>
        <v>2.8532988371000179</v>
      </c>
    </row>
    <row r="64" spans="1:28" ht="68" x14ac:dyDescent="0.2">
      <c r="Q64" s="678" t="s">
        <v>420</v>
      </c>
      <c r="R64" s="679">
        <v>0.1133</v>
      </c>
      <c r="S64" s="680">
        <v>1.2535769118655393E-2</v>
      </c>
      <c r="T64" s="680">
        <v>1.6396133850047567E-2</v>
      </c>
      <c r="U64" s="680">
        <v>2.1124776835969028E-2</v>
      </c>
      <c r="W64" s="63" t="s">
        <v>76</v>
      </c>
      <c r="X64" s="63">
        <f>+Z30*(1+R63)</f>
        <v>5.3744890500000002</v>
      </c>
      <c r="Y64" s="63">
        <f>+X64*(1+S63)</f>
        <v>5.4639864171982149</v>
      </c>
      <c r="Z64" s="63">
        <f t="shared" ref="Z64:AA64" si="7">+Y64*(1+T63)</f>
        <v>5.579103019980475</v>
      </c>
      <c r="AA64" s="63">
        <f t="shared" si="7"/>
        <v>5.7054640632198614</v>
      </c>
    </row>
  </sheetData>
  <mergeCells count="4">
    <mergeCell ref="A2:A8"/>
    <mergeCell ref="B2:B8"/>
    <mergeCell ref="C2:C8"/>
    <mergeCell ref="A33:C33"/>
  </mergeCells>
  <dataValidations disablePrompts="1" count="1">
    <dataValidation type="list" allowBlank="1" showInputMessage="1" showErrorMessage="1" sqref="E2:E8" xr:uid="{5FC76693-8C89-44C2-89FB-186602E6C403}">
      <formula1>Answer</formula1>
    </dataValidation>
  </dataValidation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NPProceedingName xmlns="12174cd8-9950-459c-a1a6-43cfa5072f14">A2205015_016 - SoCalGas and SDGE 2024 GRC</NPProceedingName>
    <RequestEventType xmlns="12174cd8-9950-459c-a1a6-43cfa5072f14">Proceeding</RequestEventType>
    <PartyFullName xmlns="12174cd8-9950-459c-a1a6-43cfa5072f14">
      <Value>302</Value>
    </PartyFullName>
    <PartyAbbreviation xmlns="12174cd8-9950-459c-a1a6-43cfa5072f14">
      <Value>302</Value>
    </PartyAbbreviation>
    <ConsolidatedDocketNumber xmlns="12174cd8-9950-459c-a1a6-43cfa5072f14" xsi:nil="true"/>
    <NPDocumentEdition xmlns="12174cd8-9950-459c-a1a6-43cfa5072f14">Received</NPDocumentEdition>
    <DocumentCategory xmlns="12174cd8-9950-459c-a1a6-43cfa5072f14">121</DocumentCategory>
    <DocumentPublishedDate xmlns="12174cd8-9950-459c-a1a6-43cfa5072f14">2023-01-11T18:08:37+00:00</DocumentPublishedDate>
    <ParticipationType xmlns="12174cd8-9950-459c-a1a6-43cfa5072f14">Participatory</ParticipationType>
    <DocketNumber xmlns="12174cd8-9950-459c-a1a6-43cfa5072f14">A2205015_016 2024 GRC</DocketNumber>
    <RequestEventName xmlns="12174cd8-9950-459c-a1a6-43cfa5072f14" xsi:nil="true"/>
    <FilingEntity xmlns="12174cd8-9950-459c-a1a6-43cfa5072f14">
      <Value>2</Value>
      <Value>1</Value>
    </FilingEntity>
    <AdministrativeEventType xmlns="12174cd8-9950-459c-a1a6-43cfa5072f14" xsi:nil="true"/>
    <ProceedingNumber xmlns="12174cd8-9950-459c-a1a6-43cfa5072f14" xsi:nil="true"/>
    <ReferenceCategory xmlns="12174cd8-9950-459c-a1a6-43cfa5072f14" xsi:nil="true"/>
    <DocumentGroupName xmlns="12174cd8-9950-459c-a1a6-43cfa5072f14">GRC TY RSE Wildfire Update</DocumentGroupName>
    <DocumentConfidentiality xmlns="12174cd8-9950-459c-a1a6-43cfa5072f14">Non-Confidential</DocumentConfidentiality>
    <ConfidentialityCategory xmlns="12174cd8-9950-459c-a1a6-43cfa5072f14" xsi:nil="true"/>
    <FilingYear xmlns="12174cd8-9950-459c-a1a6-43cfa5072f14">2024</FilingYear>
    <ProfileItemId xmlns="12174cd8-9950-459c-a1a6-43cfa5072f14">58</ProfileItemId>
    <DocumentStatus xmlns="12174cd8-9950-459c-a1a6-43cfa5072f14" xsi:nil="true"/>
    <GroupNumber xmlns="12174cd8-9950-459c-a1a6-43cfa5072f14" xsi:nil="true"/>
    <IsGroup xmlns="12174cd8-9950-459c-a1a6-43cfa5072f14">false</IsGroup>
    <ProgramName xmlns="12174cd8-9950-459c-a1a6-43cfa5072f14" xsi:nil="true"/>
    <RequestorName xmlns="12174cd8-9950-459c-a1a6-43cfa5072f14" xsi:nil="true"/>
    <Activity xmlns="12174cd8-9950-459c-a1a6-43cfa5072f14" xsi:nil="true"/>
    <PDRNumber xmlns="12174cd8-9950-459c-a1a6-43cfa5072f14" xsi:nil="true"/>
    <ProceedingName xmlns="12174cd8-9950-459c-a1a6-43cfa5072f14">53</ProceedingName>
    <ExhibitNumbers xmlns="12174cd8-9950-459c-a1a6-43cfa5072f14" xsi:nil="true"/>
    <TestimonyAreaMulti xmlns="12174cd8-9950-459c-a1a6-43cfa5072f14" xsi:nil="true"/>
    <DataRequestProfileRequestNumber xmlns="12174cd8-9950-459c-a1a6-43cfa5072f14" xsi:nil="true"/>
    <EventSubject xmlns="12174cd8-9950-459c-a1a6-43cfa5072f14" xsi:nil="true"/>
    <RequestorProfile xmlns="12174cd8-9950-459c-a1a6-43cfa5072f14" xsi:nil="true"/>
    <DRSubjectNotes xmlns="12174cd8-9950-459c-a1a6-43cfa5072f14" xsi:nil="true"/>
    <DocumentExclusivity xmlns="12174cd8-9950-459c-a1a6-43cfa5072f14" xsi:nil="true"/>
    <RequestScenarioName xmlns="12174cd8-9950-459c-a1a6-43cfa5072f14" xsi:nil="true"/>
    <DataRequestProfileRequestorContactName xmlns="12174cd8-9950-459c-a1a6-43cfa5072f14" xsi:nil="true"/>
    <BusinessSubject xmlns="12174cd8-9950-459c-a1a6-43cfa5072f14" xsi:nil="true"/>
    <DocumentType xmlns="12174cd8-9950-459c-a1a6-43cfa5072f14">Final</DocumentType>
    <SubRequestNumber xmlns="12174cd8-9950-459c-a1a6-43cfa5072f14" xsi:nil="true"/>
    <DocumentName xmlns="12174cd8-9950-459c-a1a6-43cfa5072f14" xsi:nil="true"/>
    <IntervenorName1 xmlns="12174cd8-9950-459c-a1a6-43cfa5072f14" xsi:nil="true"/>
    <OtherEventDataRequestProfile xmlns="12174cd8-9950-459c-a1a6-43cfa5072f14" xsi:nil="true"/>
    <DocumentNumber xmlns="12174cd8-9950-459c-a1a6-43cfa5072f14" xsi:nil="true"/>
    <EventName xmlns="12174cd8-9950-459c-a1a6-43cfa5072f14" xsi:nil="true"/>
    <Request_x0020_Process_x0020_Stage xmlns="12174cd8-9950-459c-a1a6-43cfa5072f14" xsi:nil="true"/>
    <RequestScenarioCode xmlns="12174cd8-9950-459c-a1a6-43cfa5072f14" xsi:nil="true"/>
    <SpecialInstructions xmlns="12174cd8-9950-459c-a1a6-43cfa5072f14" xsi:nil="true"/>
    <CollaborationId xmlns="12174cd8-9950-459c-a1a6-43cfa5072f14" xsi:nil="true"/>
    <RequestNumber xmlns="12174cd8-9950-459c-a1a6-43cfa5072f14" xsi:nil="true"/>
    <UserUploadedFile xmlns="12174cd8-9950-459c-a1a6-43cfa5072f14">true</UserUploadedFile>
    <DataRequestProfileRequestReceivedDateTime xmlns="12174cd8-9950-459c-a1a6-43cfa5072f14" xsi:nil="true"/>
    <FERCCategory xmlns="12174cd8-9950-459c-a1a6-43cfa5072f14" xsi:nil="true"/>
    <RequestType xmlns="12174cd8-9950-459c-a1a6-43cfa5072f14" xsi:nil="true"/>
    <ConcessionContent xmlns="12174cd8-9950-459c-a1a6-43cfa5072f14">No</ConcessionContent>
    <RequestNotes xmlns="12174cd8-9950-459c-a1a6-43cfa5072f14" xsi:nil="true"/>
    <SubRequestDescription xmlns="12174cd8-9950-459c-a1a6-43cfa5072f14" xsi:nil="true"/>
    <DocumentEdition xmlns="12174cd8-9950-459c-a1a6-43cfa5072f14">Received</DocumentEdition>
    <RegulatoryGroup xmlns="12174cd8-9950-459c-a1a6-43cfa5072f14" xsi:nil="true"/>
    <Stage xmlns="12174cd8-9950-459c-a1a6-43cfa5072f14" xsi:nil="true"/>
    <RegulatorySub-Group xmlns="12174cd8-9950-459c-a1a6-43cfa5072f1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Non-Discovery Documents" ma:contentTypeID="0x01010080D461EF0128FB43BDD0DBB43AA17E0F00390EF66F315F574D92D08DEA3ABF40D8" ma:contentTypeVersion="7" ma:contentTypeDescription="" ma:contentTypeScope="" ma:versionID="e47a8d47edc9281725061e2247bb24d4">
  <xsd:schema xmlns:xsd="http://www.w3.org/2001/XMLSchema" xmlns:xs="http://www.w3.org/2001/XMLSchema" xmlns:p="http://schemas.microsoft.com/office/2006/metadata/properties" xmlns:ns2="12174cd8-9950-459c-a1a6-43cfa5072f14" xmlns:ns3="9af43e3a-ef55-43c4-8761-f33a14c40b4c" targetNamespace="http://schemas.microsoft.com/office/2006/metadata/properties" ma:root="true" ma:fieldsID="30c2820e683fa0e24d75df72825440f4" ns2:_="" ns3:_="">
    <xsd:import namespace="12174cd8-9950-459c-a1a6-43cfa5072f14"/>
    <xsd:import namespace="9af43e3a-ef55-43c4-8761-f33a14c40b4c"/>
    <xsd:element name="properties">
      <xsd:complexType>
        <xsd:sequence>
          <xsd:element name="documentManagement">
            <xsd:complexType>
              <xsd:all>
                <xsd:element ref="ns2:Activity" minOccurs="0"/>
                <xsd:element ref="ns2:AdministrativeEventType" minOccurs="0"/>
                <xsd:element ref="ns2:BusinessSubject" minOccurs="0"/>
                <xsd:element ref="ns2:CollaborationId" minOccurs="0"/>
                <xsd:element ref="ns2:ConcessionContent" minOccurs="0"/>
                <xsd:element ref="ns2:DocumentConfidentiality" minOccurs="0"/>
                <xsd:element ref="ns2:ConfidentialityCategory" minOccurs="0"/>
                <xsd:element ref="ns2:ConsolidatedDocketNumber" minOccurs="0"/>
                <xsd:element ref="ns2:DataRequestProfileRequestNumber" minOccurs="0"/>
                <xsd:element ref="ns2:DataRequestProfileRequestorContactName" minOccurs="0"/>
                <xsd:element ref="ns2:DataRequestProfileRequestReceivedDateTime" minOccurs="0"/>
                <xsd:element ref="ns2:DocumentCategory" minOccurs="0"/>
                <xsd:element ref="ns2:DocumentEdition" minOccurs="0"/>
                <xsd:element ref="ns2:DocumentName" minOccurs="0"/>
                <xsd:element ref="ns2:DocumentNumber" minOccurs="0"/>
                <xsd:element ref="ns2:DocumentPublishedDate" minOccurs="0"/>
                <xsd:element ref="ns2:DocumentStatus" minOccurs="0"/>
                <xsd:element ref="ns2:DocumentType" minOccurs="0"/>
                <xsd:element ref="ns2:NPDocumentEdition" minOccurs="0"/>
                <xsd:element ref="ns2:DocumentGroupName" minOccurs="0"/>
                <xsd:element ref="ns2:DRSubjectNotes" minOccurs="0"/>
                <xsd:element ref="ns2:RequestEventName" minOccurs="0"/>
                <xsd:element ref="ns2:EventName" minOccurs="0"/>
                <xsd:element ref="ns2:ProceedingNumber" minOccurs="0"/>
                <xsd:element ref="ns2:EventSubject" minOccurs="0"/>
                <xsd:element ref="ns2:RequestEventType" minOccurs="0"/>
                <xsd:element ref="ns2:DocumentExclusivity" minOccurs="0"/>
                <xsd:element ref="ns2:ExhibitNumbers" minOccurs="0"/>
                <xsd:element ref="ns2:FERCCategory" minOccurs="0"/>
                <xsd:element ref="ns2:FilingEntity" minOccurs="0"/>
                <xsd:element ref="ns2:FilingYear" minOccurs="0"/>
                <xsd:element ref="ns2:GroupNumber" minOccurs="0"/>
                <xsd:element ref="ns2:IntervenorName1" minOccurs="0"/>
                <xsd:element ref="ns2:OtherEventDataRequestProfile" minOccurs="0"/>
                <xsd:element ref="ns2:ParticipationType" minOccurs="0"/>
                <xsd:element ref="ns2:PDRNumber" minOccurs="0"/>
                <xsd:element ref="ns2:ProceedingName" minOccurs="0"/>
                <xsd:element ref="ns2:DocketNumber" minOccurs="0"/>
                <xsd:element ref="ns2:NPProceedingName" minOccurs="0"/>
                <xsd:element ref="ns2:ProfileItemId" minOccurs="0"/>
                <xsd:element ref="ns2:ProgramName" minOccurs="0"/>
                <xsd:element ref="ns2:PartyAbbreviation" minOccurs="0"/>
                <xsd:element ref="ns2:PartyFullName" minOccurs="0"/>
                <xsd:element ref="ns2:ReferenceCategory" minOccurs="0"/>
                <xsd:element ref="ns2:RegulatoryGroup" minOccurs="0"/>
                <xsd:element ref="ns2:RegulatorySub-Group" minOccurs="0"/>
                <xsd:element ref="ns2:RequestNotes" minOccurs="0"/>
                <xsd:element ref="ns2:RequestNumber" minOccurs="0"/>
                <xsd:element ref="ns2:Request_x0020_Process_x0020_Stage" minOccurs="0"/>
                <xsd:element ref="ns2:RequestScenarioCode" minOccurs="0"/>
                <xsd:element ref="ns2:RequestScenarioName" minOccurs="0"/>
                <xsd:element ref="ns2:RequestType" minOccurs="0"/>
                <xsd:element ref="ns2:RequestorProfile" minOccurs="0"/>
                <xsd:element ref="ns2:RequestorName" minOccurs="0"/>
                <xsd:element ref="ns2:SpecialInstructions" minOccurs="0"/>
                <xsd:element ref="ns2:SubRequestDescription" minOccurs="0"/>
                <xsd:element ref="ns2:SubRequestNumber" minOccurs="0"/>
                <xsd:element ref="ns2:TestimonyAreaMulti" minOccurs="0"/>
                <xsd:element ref="ns2:UserUploadedFile" minOccurs="0"/>
                <xsd:element ref="ns2:Stage" minOccurs="0"/>
                <xsd:element ref="ns2:IsGroup" minOccurs="0"/>
                <xsd:element ref="ns3:MediaServiceMetadata" minOccurs="0"/>
                <xsd:element ref="ns3:MediaServiceFastMetadata"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174cd8-9950-459c-a1a6-43cfa5072f14" elementFormDefault="qualified">
    <xsd:import namespace="http://schemas.microsoft.com/office/2006/documentManagement/types"/>
    <xsd:import namespace="http://schemas.microsoft.com/office/infopath/2007/PartnerControls"/>
    <xsd:element name="Activity" ma:index="8" nillable="true" ma:displayName="Activity" ma:format="Dropdown" ma:internalName="Activity">
      <xsd:simpleType>
        <xsd:restriction base="dms:Choice">
          <xsd:enumeration value="Testimony"/>
          <xsd:enumeration value="Testimony Exhibit Development"/>
          <xsd:enumeration value="Inbound Data Request"/>
        </xsd:restriction>
      </xsd:simpleType>
    </xsd:element>
    <xsd:element name="AdministrativeEventType" ma:index="9" nillable="true" ma:displayName="Administrative Event Type" ma:format="Dropdown" ma:internalName="AdministrativeEventType">
      <xsd:simpleType>
        <xsd:restriction base="dms:Choice">
          <xsd:enumeration value="Administrative"/>
          <xsd:enumeration value="Proceeding"/>
          <xsd:enumeration value="Audit Proceeding"/>
          <xsd:enumeration value="Audit Program"/>
          <xsd:enumeration value="Audit Business Subject"/>
          <xsd:enumeration value="Inquiry"/>
          <xsd:enumeration value="Program"/>
          <xsd:enumeration value="Non Proceeding"/>
        </xsd:restriction>
      </xsd:simpleType>
    </xsd:element>
    <xsd:element name="BusinessSubject" ma:index="10" nillable="true" ma:displayName="Business Subject" ma:format="Dropdown" ma:internalName="BusinessSubject">
      <xsd:simpleType>
        <xsd:restriction base="dms:Choice">
          <xsd:enumeration value="Human Resources"/>
          <xsd:enumeration value="Risk Management"/>
          <xsd:enumeration value="Corporate Center"/>
          <xsd:enumeration value="Insurance"/>
          <xsd:enumeration value="Compensation and Benefits"/>
          <xsd:enumeration value="Pension"/>
          <xsd:enumeration value="Advanced Meter"/>
          <xsd:enumeration value="Smart Meter"/>
          <xsd:enumeration value="Customer Services Field"/>
          <xsd:enumeration value="Meter Reading"/>
          <xsd:enumeration value="Customer Services Office Operations"/>
          <xsd:enumeration value="Customer Services Information"/>
          <xsd:enumeration value="Remittance Processing"/>
          <xsd:enumeration value="Research and Development"/>
          <xsd:enumeration value="Gas System Integrity"/>
          <xsd:enumeration value="TIMP"/>
          <xsd:enumeration value="DIMP"/>
          <xsd:enumeration value="Major Projects"/>
          <xsd:enumeration value="PSEP"/>
          <xsd:enumeration value="Cybersecurity"/>
          <xsd:enumeration value="Environmental"/>
          <xsd:enumeration value="Facilities"/>
          <xsd:enumeration value="Real Estate"/>
          <xsd:enumeration value="Accounting and Finance"/>
          <xsd:enumeration value="SIMP"/>
          <xsd:enumeration value="Distributed Energy Resources"/>
          <xsd:enumeration value="Gas Acquisition"/>
          <xsd:enumeration value="Gas Distribution"/>
          <xsd:enumeration value="Gas Engineering"/>
          <xsd:enumeration value="Gas Transmission"/>
          <xsd:enumeration value="Information Technology"/>
          <xsd:enumeration value="Fleet"/>
          <xsd:enumeration value="Supply Management"/>
          <xsd:enumeration value="Underground Storage"/>
          <xsd:enumeration value="Wildfire"/>
          <xsd:enumeration value="Electric &amp; Fuel Procurement"/>
          <xsd:enumeration value="Electric Distribution"/>
          <xsd:enumeration value="Electric Generation"/>
          <xsd:enumeration value="Regulatory Balancing Accounts"/>
        </xsd:restriction>
      </xsd:simpleType>
    </xsd:element>
    <xsd:element name="CollaborationId" ma:index="11" nillable="true" ma:displayName="CollaborationId" ma:internalName="CollaborationId">
      <xsd:simpleType>
        <xsd:restriction base="dms:Number"/>
      </xsd:simpleType>
    </xsd:element>
    <xsd:element name="ConcessionContent" ma:index="12" nillable="true" ma:displayName="Concession Content" ma:default="No" ma:format="Dropdown" ma:internalName="ConcessionContent">
      <xsd:simpleType>
        <xsd:restriction base="dms:Choice">
          <xsd:enumeration value="Yes"/>
          <xsd:enumeration value="No"/>
        </xsd:restriction>
      </xsd:simpleType>
    </xsd:element>
    <xsd:element name="DocumentConfidentiality" ma:index="13" nillable="true" ma:displayName="Confidentiality" ma:format="Dropdown" ma:internalName="DocumentConfidentiality">
      <xsd:simpleType>
        <xsd:restriction base="dms:Choice">
          <xsd:enumeration value="Confidential"/>
          <xsd:enumeration value="Non-Confidential"/>
          <xsd:enumeration value="Public"/>
          <xsd:enumeration value="Restricted"/>
        </xsd:restriction>
      </xsd:simpleType>
    </xsd:element>
    <xsd:element name="ConfidentialityCategory" ma:index="14" nillable="true" ma:displayName="ConfidentialityCategory" ma:internalName="ConfidentialityCategory">
      <xsd:simpleType>
        <xsd:restriction base="dms:Text">
          <xsd:maxLength value="255"/>
        </xsd:restriction>
      </xsd:simpleType>
    </xsd:element>
    <xsd:element name="ConsolidatedDocketNumber" ma:index="15" nillable="true" ma:displayName="Consolidated Docket Number" ma:internalName="ConsolidatedDocketNumber">
      <xsd:simpleType>
        <xsd:restriction base="dms:Text">
          <xsd:maxLength value="255"/>
        </xsd:restriction>
      </xsd:simpleType>
    </xsd:element>
    <xsd:element name="DataRequestProfileRequestNumber" ma:index="16" nillable="true" ma:displayName="Data Request Profile Request Number" ma:internalName="DataRequestProfileRequestNumber">
      <xsd:simpleType>
        <xsd:restriction base="dms:Text">
          <xsd:maxLength value="255"/>
        </xsd:restriction>
      </xsd:simpleType>
    </xsd:element>
    <xsd:element name="DataRequestProfileRequestorContactName" ma:index="17" nillable="true" ma:displayName="Data Request Profile Requestor Contact Name" ma:internalName="DataRequestProfileRequestorContactName">
      <xsd:simpleType>
        <xsd:restriction base="dms:Text">
          <xsd:maxLength value="255"/>
        </xsd:restriction>
      </xsd:simpleType>
    </xsd:element>
    <xsd:element name="DataRequestProfileRequestReceivedDateTime" ma:index="18" nillable="true" ma:displayName="Data Request Received Date and Time" ma:format="DateTime" ma:internalName="DataRequestProfileRequestReceivedDateTime">
      <xsd:simpleType>
        <xsd:restriction base="dms:DateTime"/>
      </xsd:simpleType>
    </xsd:element>
    <xsd:element name="DocumentCategory" ma:index="19" nillable="true" ma:displayName="Document Category" ma:list="{0d3dc26e-4ac2-418a-a26e-be7f407c6277}" ma:internalName="DocumentCategory" ma:showField="Title" ma:web="12174cd8-9950-459c-a1a6-43cfa5072f14">
      <xsd:simpleType>
        <xsd:restriction base="dms:Lookup"/>
      </xsd:simpleType>
    </xsd:element>
    <xsd:element name="DocumentEdition" ma:index="20" nillable="true" ma:displayName="Document Edition" ma:format="Dropdown" ma:internalName="DocumentEdition">
      <xsd:simpleType>
        <xsd:restriction base="dms:Choice">
          <xsd:enumeration value="First"/>
          <xsd:enumeration value="Revision"/>
          <xsd:enumeration value="Errata"/>
          <xsd:enumeration value="Supplement"/>
          <xsd:enumeration value="Amendment"/>
        </xsd:restriction>
      </xsd:simpleType>
    </xsd:element>
    <xsd:element name="DocumentName" ma:index="21" nillable="true" ma:displayName="Document Name" ma:internalName="DocumentName">
      <xsd:simpleType>
        <xsd:restriction base="dms:Text">
          <xsd:maxLength value="255"/>
        </xsd:restriction>
      </xsd:simpleType>
    </xsd:element>
    <xsd:element name="DocumentNumber" ma:index="22" nillable="true" ma:displayName="Document Number" ma:internalName="DocumentNumber">
      <xsd:simpleType>
        <xsd:restriction base="dms:Text">
          <xsd:maxLength value="255"/>
        </xsd:restriction>
      </xsd:simpleType>
    </xsd:element>
    <xsd:element name="DocumentPublishedDate" ma:index="23" nillable="true" ma:displayName="Document Published Date" ma:format="DateOnly" ma:internalName="DocumentPublishedDate">
      <xsd:simpleType>
        <xsd:restriction base="dms:DateTime"/>
      </xsd:simpleType>
    </xsd:element>
    <xsd:element name="DocumentStatus" ma:index="24" nillable="true" ma:displayName="Document Status" ma:format="Dropdown" ma:internalName="DocumentStatus">
      <xsd:simpleType>
        <xsd:restriction base="dms:Choice">
          <xsd:enumeration value="Draft"/>
          <xsd:enumeration value="Final"/>
        </xsd:restriction>
      </xsd:simpleType>
    </xsd:element>
    <xsd:element name="DocumentType" ma:index="25" nillable="true" ma:displayName="Document Type" ma:format="Dropdown" ma:internalName="DocumentType">
      <xsd:simpleType>
        <xsd:restriction base="dms:Choice">
          <xsd:enumeration value="Attachment"/>
          <xsd:enumeration value="Additional Response"/>
          <xsd:enumeration value="Response"/>
          <xsd:enumeration value="Reference"/>
          <xsd:enumeration value="Final Response"/>
          <xsd:enumeration value="Final Attachment"/>
          <xsd:enumeration value="Compiled Response"/>
          <xsd:enumeration value="Compiled Attachment"/>
          <xsd:enumeration value="Request"/>
          <xsd:enumeration value="Final Public Response"/>
          <xsd:enumeration value="Convenience Copy"/>
        </xsd:restriction>
      </xsd:simpleType>
    </xsd:element>
    <xsd:element name="NPDocumentEdition" ma:index="26" nillable="true" ma:displayName="Document_Edition" ma:format="Dropdown" ma:internalName="NPDocumentEdition">
      <xsd:simpleType>
        <xsd:restriction base="dms:Choice">
          <xsd:enumeration value="Non-Workflow"/>
          <xsd:enumeration value="Received"/>
          <xsd:enumeration value="Served"/>
        </xsd:restriction>
      </xsd:simpleType>
    </xsd:element>
    <xsd:element name="DocumentGroupName" ma:index="27" nillable="true" ma:displayName="DocumentGroupName" ma:internalName="DocumentGroupName">
      <xsd:simpleType>
        <xsd:restriction base="dms:Text">
          <xsd:maxLength value="255"/>
        </xsd:restriction>
      </xsd:simpleType>
    </xsd:element>
    <xsd:element name="DRSubjectNotes" ma:index="28" nillable="true" ma:displayName="DRSubjectNotes" ma:internalName="DRSubjectNotes">
      <xsd:simpleType>
        <xsd:restriction base="dms:Note">
          <xsd:maxLength value="255"/>
        </xsd:restriction>
      </xsd:simpleType>
    </xsd:element>
    <xsd:element name="RequestEventName" ma:index="29" nillable="true" ma:displayName="Event Name" ma:internalName="RequestEventName">
      <xsd:simpleType>
        <xsd:restriction base="dms:Text">
          <xsd:maxLength value="255"/>
        </xsd:restriction>
      </xsd:simpleType>
    </xsd:element>
    <xsd:element name="EventName" ma:index="30" nillable="true" ma:displayName="Event Name2" ma:internalName="EventName">
      <xsd:simpleType>
        <xsd:restriction base="dms:Text">
          <xsd:maxLength value="255"/>
        </xsd:restriction>
      </xsd:simpleType>
    </xsd:element>
    <xsd:element name="ProceedingNumber" ma:index="31" nillable="true" ma:displayName="Event Number" ma:internalName="ProceedingNumber">
      <xsd:simpleType>
        <xsd:restriction base="dms:Text">
          <xsd:maxLength value="255"/>
        </xsd:restriction>
      </xsd:simpleType>
    </xsd:element>
    <xsd:element name="EventSubject" ma:index="32" nillable="true" ma:displayName="Event Subject" ma:internalName="EventSubject">
      <xsd:simpleType>
        <xsd:restriction base="dms:Text">
          <xsd:maxLength value="255"/>
        </xsd:restriction>
      </xsd:simpleType>
    </xsd:element>
    <xsd:element name="RequestEventType" ma:index="33" nillable="true" ma:displayName="Event Type" ma:format="Dropdown" ma:internalName="RequestEventType">
      <xsd:simpleType>
        <xsd:restriction base="dms:Choice">
          <xsd:enumeration value="Proceeding"/>
          <xsd:enumeration value="Audit Proceeding"/>
          <xsd:enumeration value="Audit Program"/>
          <xsd:enumeration value="Audit Business Subject"/>
          <xsd:enumeration value="Inquiry"/>
          <xsd:enumeration value="Program"/>
        </xsd:restriction>
      </xsd:simpleType>
    </xsd:element>
    <xsd:element name="DocumentExclusivity" ma:index="34" nillable="true" ma:displayName="Exclusivity" ma:format="Dropdown" ma:internalName="DocumentExclusivity">
      <xsd:simpleType>
        <xsd:restriction base="dms:Choice">
          <xsd:enumeration value="Exclusive"/>
          <xsd:enumeration value="Non-Exclusive"/>
        </xsd:restriction>
      </xsd:simpleType>
    </xsd:element>
    <xsd:element name="ExhibitNumbers" ma:index="35" nillable="true" ma:displayName="Exhibit Numbers" ma:internalName="ExhibitNumbers">
      <xsd:simpleType>
        <xsd:restriction base="dms:Text">
          <xsd:maxLength value="255"/>
        </xsd:restriction>
      </xsd:simpleType>
    </xsd:element>
    <xsd:element name="FERCCategory" ma:index="36" nillable="true" ma:displayName="FERC Category" ma:format="Dropdown" ma:internalName="FERCCategory">
      <xsd:simpleType>
        <xsd:restriction base="dms:Choice">
          <xsd:enumeration value="General"/>
          <xsd:enumeration value="Marketing"/>
          <xsd:enumeration value="Transmission"/>
        </xsd:restriction>
      </xsd:simpleType>
    </xsd:element>
    <xsd:element name="FilingEntity" ma:index="37" nillable="true" ma:displayName="Filing Entity" ma:list="{fde9ac3a-7a5b-4e49-825f-020be5435868}" ma:internalName="FilingEntity" ma:showField="Title" ma:web="12174cd8-9950-459c-a1a6-43cfa5072f14">
      <xsd:complexType>
        <xsd:complexContent>
          <xsd:extension base="dms:MultiChoiceLookup">
            <xsd:sequence>
              <xsd:element name="Value" type="dms:Lookup" maxOccurs="unbounded" minOccurs="0" nillable="true"/>
            </xsd:sequence>
          </xsd:extension>
        </xsd:complexContent>
      </xsd:complexType>
    </xsd:element>
    <xsd:element name="FilingYear" ma:index="38" nillable="true" ma:displayName="Filing Year" ma:internalName="FilingYear" ma:percentage="FALSE">
      <xsd:simpleType>
        <xsd:restriction base="dms:Number"/>
      </xsd:simpleType>
    </xsd:element>
    <xsd:element name="GroupNumber" ma:index="39" nillable="true" ma:displayName="GroupNumber" ma:internalName="GroupNumber">
      <xsd:simpleType>
        <xsd:restriction base="dms:Text">
          <xsd:maxLength value="255"/>
        </xsd:restriction>
      </xsd:simpleType>
    </xsd:element>
    <xsd:element name="IntervenorName1" ma:index="40" nillable="true" ma:displayName="IntervenorName" ma:list="{c7ad1ebe-6d89-4549-b4c3-87640fa53c34}" ma:internalName="IntervenorName1" ma:showField="FilingEntityName_IntervenorName" ma:web="12174cd8-9950-459c-a1a6-43cfa5072f14">
      <xsd:simpleType>
        <xsd:restriction base="dms:Lookup"/>
      </xsd:simpleType>
    </xsd:element>
    <xsd:element name="OtherEventDataRequestProfile" ma:index="41" nillable="true" ma:displayName="OtherEventDataRequestProfile" ma:internalName="OtherEventDataRequestProfile">
      <xsd:simpleType>
        <xsd:restriction base="dms:Text">
          <xsd:maxLength value="255"/>
        </xsd:restriction>
      </xsd:simpleType>
    </xsd:element>
    <xsd:element name="ParticipationType" ma:index="42" nillable="true" ma:displayName="Participation Type" ma:format="Dropdown" ma:internalName="ParticipationType">
      <xsd:simpleType>
        <xsd:restriction base="dms:Choice">
          <xsd:enumeration value="Participatory"/>
          <xsd:enumeration value="Informational"/>
        </xsd:restriction>
      </xsd:simpleType>
    </xsd:element>
    <xsd:element name="PDRNumber" ma:index="43" nillable="true" ma:displayName="PDRNumber" ma:internalName="PDRNumber">
      <xsd:simpleType>
        <xsd:restriction base="dms:Text">
          <xsd:maxLength value="255"/>
        </xsd:restriction>
      </xsd:simpleType>
    </xsd:element>
    <xsd:element name="ProceedingName" ma:index="44" nillable="true" ma:displayName="Proceeding Name" ma:list="{929d9d03-3bb4-4a45-8e1d-4fda27be57c7}" ma:internalName="ProceedingName" ma:showField="Title" ma:web="12174cd8-9950-459c-a1a6-43cfa5072f14">
      <xsd:simpleType>
        <xsd:restriction base="dms:Lookup"/>
      </xsd:simpleType>
    </xsd:element>
    <xsd:element name="DocketNumber" ma:index="45" nillable="true" ma:displayName="Proceeding Number" ma:internalName="DocketNumber">
      <xsd:simpleType>
        <xsd:restriction base="dms:Text">
          <xsd:maxLength value="255"/>
        </xsd:restriction>
      </xsd:simpleType>
    </xsd:element>
    <xsd:element name="NPProceedingName" ma:index="46" nillable="true" ma:displayName="Proceeding_Name" ma:internalName="NPProceedingName">
      <xsd:simpleType>
        <xsd:restriction base="dms:Text">
          <xsd:maxLength value="255"/>
        </xsd:restriction>
      </xsd:simpleType>
    </xsd:element>
    <xsd:element name="ProfileItemId" ma:index="47" nillable="true" ma:displayName="Profile Item Id" ma:decimals="0" ma:internalName="ProfileItemId" ma:percentage="FALSE">
      <xsd:simpleType>
        <xsd:restriction base="dms:Number"/>
      </xsd:simpleType>
    </xsd:element>
    <xsd:element name="ProgramName" ma:index="48" nillable="true" ma:displayName="Program Name" ma:internalName="ProgramName">
      <xsd:simpleType>
        <xsd:restriction base="dms:Text">
          <xsd:maxLength value="255"/>
        </xsd:restriction>
      </xsd:simpleType>
    </xsd:element>
    <xsd:element name="PartyAbbreviation" ma:index="49" nillable="true" ma:displayName="Published By Abbreviation" ma:list="{c7ad1ebe-6d89-4549-b4c3-87640fa53c34}" ma:internalName="PartyAbbreviation" ma:showField="FilingEntityCode_IntervenorCode" ma:web="12174cd8-9950-459c-a1a6-43cfa5072f14">
      <xsd:complexType>
        <xsd:complexContent>
          <xsd:extension base="dms:MultiChoiceLookup">
            <xsd:sequence>
              <xsd:element name="Value" type="dms:Lookup" maxOccurs="unbounded" minOccurs="0" nillable="true"/>
            </xsd:sequence>
          </xsd:extension>
        </xsd:complexContent>
      </xsd:complexType>
    </xsd:element>
    <xsd:element name="PartyFullName" ma:index="50" nillable="true" ma:displayName="Published By Name" ma:list="{c7ad1ebe-6d89-4549-b4c3-87640fa53c34}" ma:internalName="PartyFullName" ma:showField="FilingEntityName_IntervenorName" ma:web="12174cd8-9950-459c-a1a6-43cfa5072f14">
      <xsd:complexType>
        <xsd:complexContent>
          <xsd:extension base="dms:MultiChoiceLookup">
            <xsd:sequence>
              <xsd:element name="Value" type="dms:Lookup" maxOccurs="unbounded" minOccurs="0" nillable="true"/>
            </xsd:sequence>
          </xsd:extension>
        </xsd:complexContent>
      </xsd:complexType>
    </xsd:element>
    <xsd:element name="ReferenceCategory" ma:index="51" nillable="true" ma:displayName="Reference Category" ma:format="Dropdown" ma:internalName="ReferenceCategory">
      <xsd:simpleType>
        <xsd:restriction base="dms:Choice">
          <xsd:enumeration value="Internal Only"/>
          <xsd:enumeration value="Internal and External"/>
          <xsd:enumeration value="Joint Privilege"/>
        </xsd:restriction>
      </xsd:simpleType>
    </xsd:element>
    <xsd:element name="RegulatoryGroup" ma:index="52" nillable="true" ma:displayName="Regulatory Group" ma:format="Dropdown" ma:internalName="RegulatoryGroup">
      <xsd:simpleType>
        <xsd:restriction base="dms:Choice">
          <xsd:enumeration value="GRC-SDGE"/>
          <xsd:enumeration value="GRC-SoCalGas"/>
          <xsd:enumeration value="GRC-SDGE and SoCalGas"/>
          <xsd:enumeration value="SDGE Regulatory"/>
          <xsd:enumeration value="SoCalGas Regulatory"/>
        </xsd:restriction>
      </xsd:simpleType>
    </xsd:element>
    <xsd:element name="RegulatorySub-Group" ma:index="53" nillable="true" ma:displayName="Regulatory Sub-Group" ma:format="Dropdown" ma:internalName="RegulatorySub_x002d_Group">
      <xsd:simpleType>
        <xsd:restriction base="dms:Choice">
          <xsd:enumeration value="GAS-CPUC"/>
          <xsd:enumeration value="GAS-FERC"/>
          <xsd:enumeration value="ELECTRIC-CPUC"/>
          <xsd:enumeration value="ELECTRIC-FERC"/>
          <xsd:enumeration value="GRC-CPUC"/>
        </xsd:restriction>
      </xsd:simpleType>
    </xsd:element>
    <xsd:element name="RequestNotes" ma:index="54" nillable="true" ma:displayName="Request Notes" ma:internalName="RequestNotes">
      <xsd:simpleType>
        <xsd:restriction base="dms:Note">
          <xsd:maxLength value="255"/>
        </xsd:restriction>
      </xsd:simpleType>
    </xsd:element>
    <xsd:element name="RequestNumber" ma:index="55" nillable="true" ma:displayName="Request Number" ma:internalName="RequestNumber">
      <xsd:simpleType>
        <xsd:restriction base="dms:Text">
          <xsd:maxLength value="255"/>
        </xsd:restriction>
      </xsd:simpleType>
    </xsd:element>
    <xsd:element name="Request_x0020_Process_x0020_Stage" ma:index="56" nillable="true" ma:displayName="Request Process Stage" ma:format="Dropdown" ma:internalName="Request_x0020_Process_x0020_Stage">
      <xsd:simpleType>
        <xsd:restriction base="dms:Choice">
          <xsd:enumeration value="Assignment"/>
          <xsd:enumeration value="Development Stage"/>
          <xsd:enumeration value="Data collection stage by Case Manager"/>
          <xsd:enumeration value="Development Stage"/>
          <xsd:enumeration value="Review &amp; Approve Stage"/>
          <xsd:enumeration value="Final Documents Release"/>
        </xsd:restriction>
      </xsd:simpleType>
    </xsd:element>
    <xsd:element name="RequestScenarioCode" ma:index="57" nillable="true" ma:displayName="Request Scenario Code" ma:format="Dropdown" ma:internalName="RequestScenarioCode">
      <xsd:simpleType>
        <xsd:restriction base="dms:Choice">
          <xsd:enumeration value="RS1"/>
          <xsd:enumeration value="RS2"/>
          <xsd:enumeration value="RS3"/>
          <xsd:enumeration value="RS4"/>
          <xsd:enumeration value="RS5"/>
          <xsd:enumeration value="RS6"/>
          <xsd:enumeration value="RS7"/>
          <xsd:enumeration value="RS8"/>
          <xsd:enumeration value="RS9"/>
        </xsd:restriction>
      </xsd:simpleType>
    </xsd:element>
    <xsd:element name="RequestScenarioName" ma:index="58" nillable="true" ma:displayName="Request Scenario Name" ma:format="Dropdown" ma:internalName="RequestScenarioName">
      <xsd:simpleType>
        <xsd:restriction base="dms:Choice">
          <xsd:enumeration value="Single Subject Area Request"/>
          <xsd:enumeration value="Single Request (W/O Sub-Requests, Multi-team)"/>
          <xsd:enumeration value="Request with Sub-Requests"/>
          <xsd:enumeration value="Request With Sub-Requests (Multi-team)"/>
          <xsd:enumeration value="Legal Document Request"/>
          <xsd:enumeration value="Legal Document Request (W/O Sub-Requests, Approving team)"/>
          <xsd:enumeration value="Proceeding Administrator Request"/>
          <xsd:enumeration value="Non-Proceeding Request"/>
          <xsd:enumeration value="Non-Proceeding Requests (W/O Sub-Requests, Multi-team)"/>
          <xsd:enumeration value="Inbound Data Request"/>
          <xsd:enumeration value="Inbound Data Request (With Sub-Requests, Multi-team)"/>
        </xsd:restriction>
      </xsd:simpleType>
    </xsd:element>
    <xsd:element name="RequestType" ma:index="59" nillable="true" ma:displayName="Request Type" ma:format="Dropdown" ma:internalName="RequestType">
      <xsd:simpleType>
        <xsd:restriction base="dms:Choice">
          <xsd:enumeration value="Document"/>
        </xsd:restriction>
      </xsd:simpleType>
    </xsd:element>
    <xsd:element name="RequestorProfile" ma:index="60" nillable="true" ma:displayName="Requestor Profile" ma:internalName="RequestorProfile">
      <xsd:simpleType>
        <xsd:restriction base="dms:Text">
          <xsd:maxLength value="255"/>
        </xsd:restriction>
      </xsd:simpleType>
    </xsd:element>
    <xsd:element name="RequestorName" ma:index="61" nillable="true" ma:displayName="RequestorName" ma:list="{c7ad1ebe-6d89-4549-b4c3-87640fa53c34}" ma:internalName="RequestorName" ma:showField="FilingEntityName_IntervenorName" ma:web="12174cd8-9950-459c-a1a6-43cfa5072f14">
      <xsd:complexType>
        <xsd:complexContent>
          <xsd:extension base="dms:MultiChoiceLookup">
            <xsd:sequence>
              <xsd:element name="Value" type="dms:Lookup" maxOccurs="unbounded" minOccurs="0" nillable="true"/>
            </xsd:sequence>
          </xsd:extension>
        </xsd:complexContent>
      </xsd:complexType>
    </xsd:element>
    <xsd:element name="SpecialInstructions" ma:index="62" nillable="true" ma:displayName="Special Instructions" ma:internalName="SpecialInstructions">
      <xsd:simpleType>
        <xsd:restriction base="dms:Note">
          <xsd:maxLength value="255"/>
        </xsd:restriction>
      </xsd:simpleType>
    </xsd:element>
    <xsd:element name="SubRequestDescription" ma:index="63" nillable="true" ma:displayName="Sub Request Description" ma:internalName="SubRequestDescription">
      <xsd:simpleType>
        <xsd:restriction base="dms:Note">
          <xsd:maxLength value="255"/>
        </xsd:restriction>
      </xsd:simpleType>
    </xsd:element>
    <xsd:element name="SubRequestNumber" ma:index="64" nillable="true" ma:displayName="Sub Request Number" ma:internalName="SubRequestNumber">
      <xsd:simpleType>
        <xsd:restriction base="dms:Text">
          <xsd:maxLength value="255"/>
        </xsd:restriction>
      </xsd:simpleType>
    </xsd:element>
    <xsd:element name="TestimonyAreaMulti" ma:index="65" nillable="true" ma:displayName="Testimony Area Multi" ma:internalName="TestimonyAreaMulti">
      <xsd:simpleType>
        <xsd:restriction base="dms:Text">
          <xsd:maxLength value="255"/>
        </xsd:restriction>
      </xsd:simpleType>
    </xsd:element>
    <xsd:element name="UserUploadedFile" ma:index="66" nillable="true" ma:displayName="User Uploaded File" ma:default="1" ma:internalName="UserUploadedFile">
      <xsd:simpleType>
        <xsd:restriction base="dms:Boolean"/>
      </xsd:simpleType>
    </xsd:element>
    <xsd:element name="Stage" ma:index="67" nillable="true" ma:displayName="Stage" ma:format="Dropdown" ma:internalName="Stage">
      <xsd:simpleType>
        <xsd:restriction base="dms:Choice">
          <xsd:enumeration value="Accountability"/>
          <xsd:enumeration value="Audit"/>
          <xsd:enumeration value="Briefing"/>
          <xsd:enumeration value="Compliance"/>
          <xsd:enumeration value="Decisions"/>
          <xsd:enumeration value="Discovery"/>
          <xsd:enumeration value="Filing"/>
          <xsd:enumeration value="Hearing"/>
          <xsd:enumeration value="Inquiry"/>
          <xsd:enumeration value="Other"/>
          <xsd:enumeration value="Post Filing"/>
          <xsd:enumeration value="Pre-Filing"/>
          <xsd:enumeration value="Program"/>
          <xsd:enumeration value="Settlements"/>
          <xsd:enumeration value="Training"/>
        </xsd:restriction>
      </xsd:simpleType>
    </xsd:element>
    <xsd:element name="IsGroup" ma:index="68" nillable="true" ma:displayName="IsGroup" ma:default="0" ma:internalName="IsGroup">
      <xsd:simpleType>
        <xsd:restriction base="dms:Boolean"/>
      </xsd:simpleType>
    </xsd:element>
    <xsd:element name="SharedWithUsers" ma:index="7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7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f43e3a-ef55-43c4-8761-f33a14c40b4c" elementFormDefault="qualified">
    <xsd:import namespace="http://schemas.microsoft.com/office/2006/documentManagement/types"/>
    <xsd:import namespace="http://schemas.microsoft.com/office/infopath/2007/PartnerControls"/>
    <xsd:element name="MediaServiceMetadata" ma:index="69" nillable="true" ma:displayName="MediaServiceMetadata" ma:hidden="true" ma:internalName="MediaServiceMetadata" ma:readOnly="true">
      <xsd:simpleType>
        <xsd:restriction base="dms:Note"/>
      </xsd:simpleType>
    </xsd:element>
    <xsd:element name="MediaServiceFastMetadata" ma:index="7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6 b 7 c c 5 5 0 - 0 1 a 8 - 4 c 8 9 - b 1 2 6 - 5 6 7 a c 8 a d c 3 c 1 "   x m l n s = " h t t p : / / s c h e m a s . m i c r o s o f t . c o m / D a t a M a s h u p " > A A A A A B U D A A B Q S w M E F A A C A A g A B 5 N 6 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A e T e 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k 3 p T K I p H u A 4 A A A A R A A A A E w A c A E Z v c m 1 1 b G F z L 1 N l Y 3 R p b 2 4 x L m 0 g o h g A K K A U A A A A A A A A A A A A A A A A A A A A A A A A A A A A K 0 5 N L s n M z 1 M I h t C G 1 g B Q S w E C L Q A U A A I A C A A H k 3 p T W Y / a I K U A A A D 1 A A A A E g A A A A A A A A A A A A A A A A A A A A A A Q 2 9 u Z m l n L 1 B h Y 2 t h Z 2 U u e G 1 s U E s B A i 0 A F A A C A A g A B 5 N 6 U w / K 6 a u k A A A A 6 Q A A A B M A A A A A A A A A A A A A A A A A 8 Q A A A F t D b 2 5 0 Z W 5 0 X 1 R 5 c G V z X S 5 4 b W x Q S w E C L Q A U A A I A C A A H k 3 p T 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Q l + m s R U N A k a D b x t U w y s u 5 g A A A A A C A A A A A A A D Z g A A w A A A A B A A A A D y n G 6 5 l y k 1 Z l + u e E Q Y u f I 2 A A A A A A S A A A C g A A A A E A A A A I y + + P w 5 P a + p c h C I T 7 S i n y d Q A A A A w M e b V 2 b J W + S u M 1 / y + G I l p 7 P x B S V T a o w S p A 2 U z N T V 9 7 4 p A E t U L a o C U x 1 d g V 5 r s R Q v g h Y 6 s w 0 i q v i O F 9 V P W v N 1 U D V U m v i G d D A B r R Z S m F 1 / s X g U A A A A h R 5 r c S z O 3 e 6 J b U R f S 1 w x f h U B H M 4 = < / 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BFF728-BFD0-4463-A449-BA6640274BB0}">
  <ds:schemaRefs>
    <ds:schemaRef ds:uri="http://schemas.microsoft.com/office/2006/metadata/properties"/>
    <ds:schemaRef ds:uri="http://schemas.microsoft.com/office/infopath/2007/PartnerControls"/>
    <ds:schemaRef ds:uri="57bc06a4-be90-4270-adeb-72dff3d90fbf"/>
    <ds:schemaRef ds:uri="6996a22d-2c4c-4c46-8266-62bff0c00b3b"/>
    <ds:schemaRef ds:uri="12174cd8-9950-459c-a1a6-43cfa5072f14"/>
  </ds:schemaRefs>
</ds:datastoreItem>
</file>

<file path=customXml/itemProps2.xml><?xml version="1.0" encoding="utf-8"?>
<ds:datastoreItem xmlns:ds="http://schemas.openxmlformats.org/officeDocument/2006/customXml" ds:itemID="{25A8F3A6-E24F-45E1-A6CF-8AABE31CB2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174cd8-9950-459c-a1a6-43cfa5072f14"/>
    <ds:schemaRef ds:uri="9af43e3a-ef55-43c4-8761-f33a14c40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6B22CD-3330-4254-804F-F2EB966E479E}">
  <ds:schemaRefs>
    <ds:schemaRef ds:uri="http://schemas.microsoft.com/DataMashup"/>
  </ds:schemaRefs>
</ds:datastoreItem>
</file>

<file path=customXml/itemProps4.xml><?xml version="1.0" encoding="utf-8"?>
<ds:datastoreItem xmlns:ds="http://schemas.openxmlformats.org/officeDocument/2006/customXml" ds:itemID="{495182E1-A97E-45CE-BC7C-20C292A87E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21</vt:i4>
      </vt:variant>
    </vt:vector>
  </HeadingPairs>
  <TitlesOfParts>
    <vt:vector size="41" baseType="lpstr">
      <vt:lpstr>Cover</vt:lpstr>
      <vt:lpstr>RSE Summary WF Supplemental</vt:lpstr>
      <vt:lpstr>Risk Scoring Workpaper Summary</vt:lpstr>
      <vt:lpstr>RiskSW_PSPS</vt:lpstr>
      <vt:lpstr>Risk Scoring Workpaper</vt:lpstr>
      <vt:lpstr>Master Inputs </vt:lpstr>
      <vt:lpstr>Inspection_Master_Inputs</vt:lpstr>
      <vt:lpstr>Master_Table</vt:lpstr>
      <vt:lpstr>GeneratorGrantProgram</vt:lpstr>
      <vt:lpstr>PM SME Assignments</vt:lpstr>
      <vt:lpstr>SUG_Template</vt:lpstr>
      <vt:lpstr>CheckHotLineClamps</vt:lpstr>
      <vt:lpstr>Customer Resiliency Programs  </vt:lpstr>
      <vt:lpstr>Strategic_Undergrounding</vt:lpstr>
      <vt:lpstr>CoveredConductors</vt:lpstr>
      <vt:lpstr>ExpulsionFuseReplacement</vt:lpstr>
      <vt:lpstr>CNFHardening-OH</vt:lpstr>
      <vt:lpstr>PSPSEventsandMitigationImpacts</vt:lpstr>
      <vt:lpstr>ReclosureProtocols</vt:lpstr>
      <vt:lpstr>ProtectionSettings</vt:lpstr>
      <vt:lpstr>Answer</vt:lpstr>
      <vt:lpstr>'Master Inputs '!Benefit_Discount_Factor</vt:lpstr>
      <vt:lpstr>'Master Inputs '!Financial_Cost_Range</vt:lpstr>
      <vt:lpstr>'Master Inputs '!Financial_Cost_Weight</vt:lpstr>
      <vt:lpstr>FinancialImpactPerCustomer</vt:lpstr>
      <vt:lpstr>LengthofPSPSShutdown</vt:lpstr>
      <vt:lpstr>NFinancial</vt:lpstr>
      <vt:lpstr>NReliabilityIndex</vt:lpstr>
      <vt:lpstr>NSafetyIndex</vt:lpstr>
      <vt:lpstr>Cover!Print_Area</vt:lpstr>
      <vt:lpstr>PSPS</vt:lpstr>
      <vt:lpstr>ReadabilityFactor</vt:lpstr>
      <vt:lpstr>'Master Inputs '!Reliability_Index_Range</vt:lpstr>
      <vt:lpstr>'Master Inputs '!Reliability_Index_Weight</vt:lpstr>
      <vt:lpstr>'Master Inputs '!Safety_Index_Range</vt:lpstr>
      <vt:lpstr>'Master Inputs '!Safety_Index_Weight</vt:lpstr>
      <vt:lpstr>SafetyCustomerMinutes</vt:lpstr>
      <vt:lpstr>'Master Inputs '!Stakeholder_Satisfaction_Index_Range</vt:lpstr>
      <vt:lpstr>'Master Inputs '!Stakeholder_Satisfaction_Index_Weight</vt:lpstr>
      <vt:lpstr>TotalCustomersSDGE</vt:lpstr>
      <vt:lpstr>WF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Vidyunmala Veldore</dc:creator>
  <cp:keywords/>
  <dc:description/>
  <cp:lastModifiedBy>Microsoft Office User</cp:lastModifiedBy>
  <cp:revision/>
  <dcterms:created xsi:type="dcterms:W3CDTF">2021-10-08T11:49:13Z</dcterms:created>
  <dcterms:modified xsi:type="dcterms:W3CDTF">2023-03-15T21:19:53Z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0x01010080D461EF0128FB43BDD0DBB43AA17E0F00390EF66F315F574D92D08DEA3ABF40D8</vt:lpwstr>
  </property>
  <property fmtid="{D5CDD505-2E9C-101B-9397-08002B2CF9AE}" pid="3" name="MSIP_Label_32100cb5-3755-44fe-8e65-67539d7849f9_Enabled">
    <vt:lpwstr>true</vt:lpwstr>
  </property>
  <property fmtid="{D5CDD505-2E9C-101B-9397-08002B2CF9AE}" pid="4" name="MSIP_Label_32100cb5-3755-44fe-8e65-67539d7849f9_SetDate">
    <vt:lpwstr>2022-01-10T07:19:54Z</vt:lpwstr>
  </property>
  <property fmtid="{D5CDD505-2E9C-101B-9397-08002B2CF9AE}" pid="5" name="MSIP_Label_32100cb5-3755-44fe-8e65-67539d7849f9_Method">
    <vt:lpwstr>Standard</vt:lpwstr>
  </property>
  <property fmtid="{D5CDD505-2E9C-101B-9397-08002B2CF9AE}" pid="6" name="MSIP_Label_32100cb5-3755-44fe-8e65-67539d7849f9_Name">
    <vt:lpwstr>Internal Use Only</vt:lpwstr>
  </property>
  <property fmtid="{D5CDD505-2E9C-101B-9397-08002B2CF9AE}" pid="7" name="MSIP_Label_32100cb5-3755-44fe-8e65-67539d7849f9_SiteId">
    <vt:lpwstr>07420c3d-c141-4c67-b6f3-f448e5adb67b</vt:lpwstr>
  </property>
  <property fmtid="{D5CDD505-2E9C-101B-9397-08002B2CF9AE}" pid="8" name="MSIP_Label_32100cb5-3755-44fe-8e65-67539d7849f9_ActionId">
    <vt:lpwstr>b10cbba8-70bf-475a-86f1-d8cd7122a3b7</vt:lpwstr>
  </property>
  <property fmtid="{D5CDD505-2E9C-101B-9397-08002B2CF9AE}" pid="9" name="MSIP_Label_32100cb5-3755-44fe-8e65-67539d7849f9_ContentBits">
    <vt:lpwstr>0</vt:lpwstr>
  </property>
  <property fmtid="{D5CDD505-2E9C-101B-9397-08002B2CF9AE}" pid="10" name="CofWorkbookId">
    <vt:lpwstr>3f2c856c-72b1-4e89-842d-3c8bede7a677</vt:lpwstr>
  </property>
  <property fmtid="{D5CDD505-2E9C-101B-9397-08002B2CF9AE}" pid="11" name="DocumentType">
    <vt:lpwstr>Final</vt:lpwstr>
  </property>
  <property fmtid="{D5CDD505-2E9C-101B-9397-08002B2CF9AE}" pid="12" name="ProceedingStatus">
    <vt:lpwstr>Active</vt:lpwstr>
  </property>
  <property fmtid="{D5CDD505-2E9C-101B-9397-08002B2CF9AE}" pid="13" name="Order">
    <vt:r8>6093400</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xd_Signature">
    <vt:bool>false</vt:bool>
  </property>
</Properties>
</file>