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filterPrivacy="1" hidePivotFieldList="1" defaultThemeVersion="166925"/>
  <xr:revisionPtr revIDLastSave="0" documentId="13_ncr:1_{E7B3DECD-4EAF-DD40-9A6D-3F5E970C872B}" xr6:coauthVersionLast="47" xr6:coauthVersionMax="47" xr10:uidLastSave="{00000000-0000-0000-0000-000000000000}"/>
  <bookViews>
    <workbookView xWindow="1900" yWindow="-18860" windowWidth="29040" windowHeight="15840" xr2:uid="{E183052E-CDF7-4422-82CD-9FB90B2A0C91}"/>
  </bookViews>
  <sheets>
    <sheet name="Final" sheetId="4" r:id="rId1"/>
    <sheet name="Sheet2" sheetId="2" r:id="rId2"/>
    <sheet name="Sheet1" sheetId="1" r:id="rId3"/>
  </sheets>
  <calcPr calcId="191028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4" l="1"/>
  <c r="I22" i="4"/>
  <c r="H22" i="4"/>
  <c r="N21" i="4"/>
  <c r="O21" i="4" s="1"/>
  <c r="K21" i="4"/>
  <c r="L21" i="4" s="1"/>
  <c r="M21" i="4" s="1"/>
  <c r="N20" i="4"/>
  <c r="O20" i="4" s="1"/>
  <c r="L20" i="4"/>
  <c r="M20" i="4" s="1"/>
  <c r="K20" i="4"/>
  <c r="N19" i="4"/>
  <c r="O19" i="4" s="1"/>
  <c r="K19" i="4"/>
  <c r="L19" i="4" s="1"/>
  <c r="M19" i="4" s="1"/>
  <c r="N18" i="4"/>
  <c r="O18" i="4" s="1"/>
  <c r="K18" i="4"/>
  <c r="L18" i="4" s="1"/>
  <c r="M18" i="4" s="1"/>
  <c r="N17" i="4"/>
  <c r="O17" i="4" s="1"/>
  <c r="K17" i="4"/>
  <c r="L17" i="4" s="1"/>
  <c r="M17" i="4" s="1"/>
  <c r="N16" i="4"/>
  <c r="O16" i="4" s="1"/>
  <c r="K16" i="4"/>
  <c r="L16" i="4" s="1"/>
  <c r="M16" i="4" s="1"/>
  <c r="N15" i="4"/>
  <c r="O15" i="4" s="1"/>
  <c r="K15" i="4"/>
  <c r="L15" i="4" s="1"/>
  <c r="M15" i="4" s="1"/>
  <c r="N14" i="4"/>
  <c r="O14" i="4" s="1"/>
  <c r="K14" i="4"/>
  <c r="L14" i="4" s="1"/>
  <c r="M14" i="4" s="1"/>
  <c r="O13" i="4"/>
  <c r="N13" i="4"/>
  <c r="K13" i="4"/>
  <c r="L13" i="4" s="1"/>
  <c r="M13" i="4" s="1"/>
  <c r="N12" i="4"/>
  <c r="O12" i="4" s="1"/>
  <c r="K12" i="4"/>
  <c r="L12" i="4" s="1"/>
  <c r="M12" i="4" s="1"/>
  <c r="N11" i="4"/>
  <c r="O11" i="4" s="1"/>
  <c r="K11" i="4"/>
  <c r="L11" i="4" s="1"/>
  <c r="M11" i="4" s="1"/>
  <c r="N10" i="4"/>
  <c r="O10" i="4" s="1"/>
  <c r="K10" i="4"/>
  <c r="L10" i="4" s="1"/>
  <c r="M10" i="4" s="1"/>
  <c r="N9" i="4"/>
  <c r="O9" i="4" s="1"/>
  <c r="K9" i="4"/>
  <c r="L9" i="4" s="1"/>
  <c r="M9" i="4" s="1"/>
  <c r="N8" i="4"/>
  <c r="O8" i="4" s="1"/>
  <c r="K8" i="4"/>
  <c r="L8" i="4" s="1"/>
  <c r="M8" i="4" s="1"/>
  <c r="N7" i="4"/>
  <c r="O7" i="4" s="1"/>
  <c r="K7" i="4"/>
  <c r="L7" i="4" s="1"/>
  <c r="M7" i="4" s="1"/>
  <c r="N6" i="4"/>
  <c r="M6" i="4"/>
  <c r="K6" i="4"/>
  <c r="N5" i="4"/>
  <c r="O5" i="4" s="1"/>
  <c r="K5" i="4"/>
  <c r="L5" i="4" s="1"/>
  <c r="M5" i="4" s="1"/>
  <c r="N4" i="4"/>
  <c r="O4" i="4" s="1"/>
  <c r="K4" i="4"/>
  <c r="L4" i="4" s="1"/>
  <c r="M4" i="4" s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5" i="2"/>
  <c r="O4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22" i="4" l="1"/>
  <c r="K22" i="4"/>
  <c r="L22" i="4" s="1"/>
  <c r="N22" i="4"/>
  <c r="O22" i="4" s="1"/>
  <c r="M6" i="2" l="1"/>
  <c r="L12" i="2"/>
  <c r="M12" i="2" s="1"/>
  <c r="L11" i="2"/>
  <c r="M11" i="2" s="1"/>
  <c r="L10" i="2"/>
  <c r="M10" i="2" s="1"/>
  <c r="I22" i="2"/>
  <c r="H22" i="2"/>
  <c r="K21" i="2"/>
  <c r="L21" i="2" s="1"/>
  <c r="M21" i="2" s="1"/>
  <c r="K20" i="2"/>
  <c r="L20" i="2" s="1"/>
  <c r="M20" i="2" s="1"/>
  <c r="K19" i="2"/>
  <c r="L19" i="2" s="1"/>
  <c r="M19" i="2" s="1"/>
  <c r="K18" i="2"/>
  <c r="L18" i="2" s="1"/>
  <c r="M18" i="2" s="1"/>
  <c r="K17" i="2"/>
  <c r="L17" i="2" s="1"/>
  <c r="M17" i="2" s="1"/>
  <c r="K16" i="2"/>
  <c r="L16" i="2" s="1"/>
  <c r="M16" i="2" s="1"/>
  <c r="K15" i="2"/>
  <c r="L15" i="2" s="1"/>
  <c r="M15" i="2" s="1"/>
  <c r="K14" i="2"/>
  <c r="L14" i="2" s="1"/>
  <c r="M14" i="2" s="1"/>
  <c r="K13" i="2"/>
  <c r="L13" i="2" s="1"/>
  <c r="M13" i="2" s="1"/>
  <c r="K12" i="2"/>
  <c r="K11" i="2"/>
  <c r="K10" i="2"/>
  <c r="K9" i="2"/>
  <c r="L9" i="2" s="1"/>
  <c r="M9" i="2" s="1"/>
  <c r="K8" i="2"/>
  <c r="L8" i="2" s="1"/>
  <c r="M8" i="2" s="1"/>
  <c r="K7" i="2"/>
  <c r="L7" i="2" s="1"/>
  <c r="M7" i="2" s="1"/>
  <c r="K6" i="2"/>
  <c r="K5" i="2"/>
  <c r="L5" i="2" s="1"/>
  <c r="M5" i="2" s="1"/>
  <c r="K4" i="2"/>
  <c r="L4" i="2" s="1"/>
  <c r="M4" i="2" s="1"/>
  <c r="K25" i="1"/>
  <c r="K19" i="1"/>
  <c r="K17" i="1"/>
  <c r="K15" i="1"/>
  <c r="K13" i="1"/>
  <c r="K26" i="1"/>
  <c r="K22" i="1"/>
  <c r="K31" i="1"/>
  <c r="K3" i="1"/>
  <c r="K16" i="1"/>
  <c r="K14" i="1"/>
  <c r="K24" i="1"/>
  <c r="K23" i="1"/>
  <c r="K27" i="1"/>
  <c r="K20" i="1"/>
  <c r="K9" i="1"/>
  <c r="K8" i="1"/>
  <c r="M22" i="2" l="1"/>
  <c r="K22" i="2"/>
  <c r="L22" i="2" s="1"/>
  <c r="K18" i="1"/>
  <c r="K12" i="1"/>
  <c r="K11" i="1"/>
  <c r="K10" i="1"/>
  <c r="K33" i="1"/>
  <c r="K32" i="1"/>
  <c r="K21" i="1"/>
  <c r="K7" i="1"/>
  <c r="K6" i="1"/>
  <c r="K5" i="1"/>
</calcChain>
</file>

<file path=xl/sharedStrings.xml><?xml version="1.0" encoding="utf-8"?>
<sst xmlns="http://schemas.openxmlformats.org/spreadsheetml/2006/main" count="479" uniqueCount="120">
  <si>
    <t>(a) Project ID - 1</t>
  </si>
  <si>
    <t>(b) Circuit ID</t>
  </si>
  <si>
    <t>(c) Circuit Segment ID Entirely Underground</t>
  </si>
  <si>
    <t>(d) Circuit Segment ID Partially Underground</t>
  </si>
  <si>
    <t>(e) County</t>
  </si>
  <si>
    <t>(f) Project Start Date - 2</t>
  </si>
  <si>
    <t>(g) Project Completion Date - 3</t>
  </si>
  <si>
    <t>(h) Total Overhead Miles Removed - 4</t>
  </si>
  <si>
    <t>(i) Total Cable Miles Installed - 5</t>
  </si>
  <si>
    <t>(j) Total Trench Miles  - 6</t>
  </si>
  <si>
    <t>(k) Total Electric Cost - 7</t>
  </si>
  <si>
    <t>(l) Total Cost - Inc Non-Electric Utilities - 8</t>
  </si>
  <si>
    <t>(m) Rule 20?</t>
  </si>
  <si>
    <t>(n) WMP?</t>
  </si>
  <si>
    <t>Post-wildfire Rebuild?</t>
  </si>
  <si>
    <t>Shared Trench with Com?</t>
  </si>
  <si>
    <t>Shared Trench with Gas?</t>
  </si>
  <si>
    <t>Total Customers</t>
  </si>
  <si>
    <t>Minutes of PSPS Outage by Circuit</t>
  </si>
  <si>
    <t xml:space="preserve">C1030 Ph. 4 - Services </t>
  </si>
  <si>
    <t xml:space="preserve">C1030 </t>
  </si>
  <si>
    <t>No</t>
  </si>
  <si>
    <t>1030-18R</t>
  </si>
  <si>
    <t>San Diego</t>
  </si>
  <si>
    <t>NA</t>
  </si>
  <si>
    <t>Yes</t>
  </si>
  <si>
    <t>C221 DUG Ph. 3</t>
  </si>
  <si>
    <t>C221</t>
  </si>
  <si>
    <t>221-1230F</t>
  </si>
  <si>
    <t>C221 Ph. A - Services</t>
  </si>
  <si>
    <t>221-824</t>
  </si>
  <si>
    <t>C221 Ph. D</t>
  </si>
  <si>
    <t>221-43</t>
  </si>
  <si>
    <t>C221 Ph. B2</t>
  </si>
  <si>
    <t>221-37AE</t>
  </si>
  <si>
    <t>C222 DUG Ph. 3</t>
  </si>
  <si>
    <t>C222</t>
  </si>
  <si>
    <t>222-1364R</t>
  </si>
  <si>
    <t>C222 Ph. DD</t>
  </si>
  <si>
    <t>222-2013R</t>
  </si>
  <si>
    <t>C222 Ph. EE</t>
  </si>
  <si>
    <t>C222 Ph. A</t>
  </si>
  <si>
    <t>CB 222</t>
  </si>
  <si>
    <t>C222 Ph. C</t>
  </si>
  <si>
    <t>C222 Ph. E</t>
  </si>
  <si>
    <t>C222 Ph. H</t>
  </si>
  <si>
    <t>222-1523R</t>
  </si>
  <si>
    <t>C222 Ph. L</t>
  </si>
  <si>
    <t>222-1503</t>
  </si>
  <si>
    <t>C222 Ph. N</t>
  </si>
  <si>
    <t>222-1370R</t>
  </si>
  <si>
    <t>C222 Ph. V</t>
  </si>
  <si>
    <t>222-1441R</t>
  </si>
  <si>
    <t>C222 Ph. W</t>
  </si>
  <si>
    <t>222-1401R</t>
  </si>
  <si>
    <t>C222 Ph. X</t>
  </si>
  <si>
    <t>C222 Ph. BB</t>
  </si>
  <si>
    <t>C358 DUG Ph. 2</t>
  </si>
  <si>
    <t>C358</t>
  </si>
  <si>
    <t>358-585R</t>
  </si>
  <si>
    <t>C441 DUG Ph. B</t>
  </si>
  <si>
    <t>C441</t>
  </si>
  <si>
    <t>CB 441</t>
  </si>
  <si>
    <t xml:space="preserve">C445 Ph. A </t>
  </si>
  <si>
    <t xml:space="preserve">C445 </t>
  </si>
  <si>
    <t>445-19R</t>
  </si>
  <si>
    <t>C445 Ph. B</t>
  </si>
  <si>
    <t>445-17R</t>
  </si>
  <si>
    <t>C445 Ph. C</t>
  </si>
  <si>
    <t>C445 Ph. F</t>
  </si>
  <si>
    <t>445-39R</t>
  </si>
  <si>
    <t>C445 Ph. O</t>
  </si>
  <si>
    <t>445-897R</t>
  </si>
  <si>
    <t xml:space="preserve">C73 Ph. A </t>
  </si>
  <si>
    <t>C73</t>
  </si>
  <si>
    <t>CB 73</t>
  </si>
  <si>
    <t>C75 DUG Ph. 2 - Services</t>
  </si>
  <si>
    <t>C75</t>
  </si>
  <si>
    <t>75-2237</t>
  </si>
  <si>
    <t>C972 Ph. A - Services</t>
  </si>
  <si>
    <t>C972</t>
  </si>
  <si>
    <t>972-26R</t>
  </si>
  <si>
    <t>C972 Ph. B - Services</t>
  </si>
  <si>
    <t xml:space="preserve">C972 Ph. C </t>
  </si>
  <si>
    <t>972-8</t>
  </si>
  <si>
    <t>COK1 Ph. A</t>
  </si>
  <si>
    <t>OK1</t>
  </si>
  <si>
    <t>CB OK1</t>
  </si>
  <si>
    <t>COK1 Ph. B</t>
  </si>
  <si>
    <t>CSL1 Ph. A - Services</t>
  </si>
  <si>
    <t>SL1</t>
  </si>
  <si>
    <t>CB SL1</t>
  </si>
  <si>
    <t>Notes:</t>
  </si>
  <si>
    <t>1. For (a), Project ID's with "Services" in naming, is a project with Primary cable energized in 2022 and Services energized in 2023.</t>
  </si>
  <si>
    <t>2. For (f), Used Design Start Date.</t>
  </si>
  <si>
    <t xml:space="preserve">3. For (g), Used Energization date for project completion date. </t>
  </si>
  <si>
    <t xml:space="preserve">4. For (h), Most projects have overhead removal. The projects with "0.00" miles have overhead removal, but will get completed in 2024. Projects with "NA" do not have any overhead removals.  </t>
  </si>
  <si>
    <t xml:space="preserve">5. For (i), Mileage reported were installed and energized. </t>
  </si>
  <si>
    <t>6. For (j), Projects with "NA" mileage, trench mileage completed and reported in 2022.</t>
  </si>
  <si>
    <t xml:space="preserve">7. For (k), Cost provided includes actual cost for construction and unit cost for Engineering &amp; Design and Project Support. Projects marked "NA" indicate partial energization, with the majority of the work completed and billed in 2022. </t>
  </si>
  <si>
    <t>8. For (l), this is not applicable due to all projects being electric utilities related.</t>
  </si>
  <si>
    <t>8. This list does not include Non-WMP Undergrounding Projects.</t>
  </si>
  <si>
    <t>Count of (d) Circuit Segment ID Partially Underground</t>
  </si>
  <si>
    <t>Row Labels</t>
  </si>
  <si>
    <t>Grand Total</t>
  </si>
  <si>
    <t>Sum of (j) Total Trench Miles  - 6</t>
  </si>
  <si>
    <t>Sum of (k) Total Electric Cost - 7</t>
  </si>
  <si>
    <t>Min of Total Customers</t>
  </si>
  <si>
    <t>(Multiple Items)</t>
  </si>
  <si>
    <t>Cost/Customer</t>
  </si>
  <si>
    <t>Cost</t>
  </si>
  <si>
    <t>Length</t>
  </si>
  <si>
    <t>Customers</t>
  </si>
  <si>
    <t>Off Grid $60k</t>
  </si>
  <si>
    <t>OG Costs</t>
  </si>
  <si>
    <t>Sum of Minutes of PSPS Outage by Circuit</t>
  </si>
  <si>
    <t>PSPS Minutes</t>
  </si>
  <si>
    <t>Circuit Segment</t>
  </si>
  <si>
    <t>PSPS cost per customer minute</t>
  </si>
  <si>
    <t>Customer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</si>
</sst>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applyNumberFormat="1"/>
    <xf numFmtId="0" fontId="1" fillId="3" borderId="1" xfId="0" applyNumberFormat="1" applyFont="1" applyFill="1" applyBorder="1"/>
    <xf numFmtId="0" fontId="1" fillId="0" borderId="0" xfId="0" applyFont="1" applyAlignment="1">
      <alignment horizontal="center" wrapText="1"/>
    </xf>
    <xf numFmtId="44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166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1">
    <dxf>
      <alignment vertical="top"/>
    </dxf>
    <dxf>
      <alignment vertical="center"/>
    </dxf>
    <dxf>
      <alignment vertical="top"/>
    </dxf>
    <dxf>
      <alignment vertic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06.46331284722" createdVersion="8" refreshedVersion="8" minRefreshableVersion="3" recordCount="33" xr:uid="{5CB9FA89-FA84-9D41-957F-ED831BBBB3B7}">
  <cacheSource type="worksheet">
    <worksheetSource name="Table1"/>
  </cacheSource>
  <cacheFields count="19">
    <cacheField name="(a) Project ID - 1" numFmtId="0">
      <sharedItems/>
    </cacheField>
    <cacheField name="(b) Circuit ID" numFmtId="0">
      <sharedItems/>
    </cacheField>
    <cacheField name="(c) Circuit Segment ID Entirely Underground" numFmtId="0">
      <sharedItems count="1">
        <s v="No"/>
      </sharedItems>
    </cacheField>
    <cacheField name="(d) Circuit Segment ID Partially Underground" numFmtId="0">
      <sharedItems count="25">
        <s v="1030-18R"/>
        <s v="221-1230F"/>
        <s v="221-824"/>
        <s v="221-43"/>
        <s v="221-37AE"/>
        <s v="222-1364R"/>
        <s v="222-2013R"/>
        <s v="CB 222"/>
        <s v="222-1523R"/>
        <s v="222-1503"/>
        <s v="222-1370R"/>
        <s v="222-1441R"/>
        <s v="222-1401R"/>
        <s v="358-585R"/>
        <s v="CB 441"/>
        <s v="445-19R"/>
        <s v="445-17R"/>
        <s v="445-39R"/>
        <s v="445-897R"/>
        <s v="CB 73"/>
        <s v="75-2237"/>
        <s v="972-26R"/>
        <s v="972-8"/>
        <s v="CB OK1"/>
        <s v="CB SL1"/>
      </sharedItems>
    </cacheField>
    <cacheField name="(e) County" numFmtId="0">
      <sharedItems/>
    </cacheField>
    <cacheField name="(f) Project Start Date - 2" numFmtId="14">
      <sharedItems containsSemiMixedTypes="0" containsNonDate="0" containsDate="1" containsString="0" minDate="2020-03-18T00:00:00" maxDate="2022-03-30T00:00:00"/>
    </cacheField>
    <cacheField name="(g) Project Completion Date - 3" numFmtId="14">
      <sharedItems containsSemiMixedTypes="0" containsNonDate="0" containsDate="1" containsString="0" minDate="2023-01-27T00:00:00" maxDate="2024-04-30T00:00:00"/>
    </cacheField>
    <cacheField name="(h) Total Overhead Miles Removed - 4" numFmtId="2">
      <sharedItems containsMixedTypes="1" containsNumber="1" minValue="0" maxValue="9.4403000000000006"/>
    </cacheField>
    <cacheField name="(i) Total Cable Miles Installed - 5" numFmtId="2">
      <sharedItems containsSemiMixedTypes="0" containsString="0" containsNumber="1" minValue="0.01" maxValue="8.44"/>
    </cacheField>
    <cacheField name="(j) Total Trench Miles  - 6" numFmtId="2">
      <sharedItems containsMixedTypes="1" containsNumber="1" minValue="0.01" maxValue="6.07" count="27">
        <s v="NA"/>
        <n v="2.46"/>
        <n v="0.15"/>
        <n v="1.2"/>
        <n v="1.48"/>
        <n v="2.2400000000000002"/>
        <n v="0.01"/>
        <n v="3.6"/>
        <n v="2.74"/>
        <n v="2.65"/>
        <n v="1.34"/>
        <n v="1.26"/>
        <n v="1"/>
        <n v="2.68"/>
        <n v="1.8"/>
        <n v="1.05"/>
        <n v="1.58"/>
        <n v="0.08"/>
        <n v="1.77"/>
        <n v="2.61"/>
        <n v="1.86"/>
        <n v="6.07"/>
        <n v="1.33"/>
        <n v="1.92"/>
        <n v="3.48"/>
        <n v="5.2"/>
        <n v="3.99"/>
      </sharedItems>
    </cacheField>
    <cacheField name="(k) Total Electric Cost - 7" numFmtId="164">
      <sharedItems containsMixedTypes="1" containsNumber="1" minValue="507963.82400000002" maxValue="15249570.432399999"/>
    </cacheField>
    <cacheField name="(l) Total Cost - Inc Non-Electric Utilities - 8" numFmtId="0">
      <sharedItems/>
    </cacheField>
    <cacheField name="(m) Rule 20?" numFmtId="0">
      <sharedItems/>
    </cacheField>
    <cacheField name="(n) WMP?" numFmtId="0">
      <sharedItems/>
    </cacheField>
    <cacheField name="Post-wildfire Rebuild?" numFmtId="0">
      <sharedItems/>
    </cacheField>
    <cacheField name="Shared Trench with Com?" numFmtId="0">
      <sharedItems/>
    </cacheField>
    <cacheField name="Shared Trench with Gas?" numFmtId="0">
      <sharedItems/>
    </cacheField>
    <cacheField name="Total Customers" numFmtId="0">
      <sharedItems containsString="0" containsBlank="1" containsNumber="1" containsInteger="1" minValue="53" maxValue="2902"/>
    </cacheField>
    <cacheField name="Minutes of PSPS Outage by Circuit" numFmtId="0">
      <sharedItems containsSemiMixedTypes="0" containsString="0" containsNumber="1" containsInteger="1" minValue="4112" maxValue="3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C1030 Ph. 4 - Services "/>
    <s v="C1030 "/>
    <x v="0"/>
    <x v="0"/>
    <s v="San Diego"/>
    <d v="2021-06-24T00:00:00"/>
    <d v="2023-02-17T00:00:00"/>
    <n v="9.4403000000000006"/>
    <n v="1.73"/>
    <x v="0"/>
    <s v="NA"/>
    <s v="NA"/>
    <s v="No"/>
    <s v="Yes"/>
    <s v="No"/>
    <s v="No"/>
    <s v="No"/>
    <n v="62"/>
    <n v="21077"/>
  </r>
  <r>
    <s v="C221 DUG Ph. 3"/>
    <s v="C221"/>
    <x v="0"/>
    <x v="1"/>
    <s v="San Diego"/>
    <d v="2020-03-30T00:00:00"/>
    <d v="2023-09-21T00:00:00"/>
    <n v="0"/>
    <n v="3.13"/>
    <x v="1"/>
    <n v="15249570.432399999"/>
    <s v="NA"/>
    <s v="No"/>
    <s v="Yes"/>
    <s v="No"/>
    <s v="No"/>
    <s v="No"/>
    <n v="1651"/>
    <n v="23206"/>
  </r>
  <r>
    <s v="C221 Ph. A - Services"/>
    <s v="C221"/>
    <x v="0"/>
    <x v="2"/>
    <s v="San Diego"/>
    <d v="2021-10-20T00:00:00"/>
    <d v="2023-07-19T00:00:00"/>
    <n v="0.39660000000000001"/>
    <n v="0.94"/>
    <x v="0"/>
    <s v="NA"/>
    <s v="NA"/>
    <s v="No"/>
    <s v="Yes"/>
    <s v="No"/>
    <s v="No"/>
    <s v="No"/>
    <n v="296"/>
    <n v="23206"/>
  </r>
  <r>
    <s v="C221 Ph. D"/>
    <s v="C221"/>
    <x v="0"/>
    <x v="3"/>
    <s v="San Diego"/>
    <d v="2022-03-15T00:00:00"/>
    <d v="2023-09-20T00:00:00"/>
    <n v="0.1116"/>
    <n v="0.3"/>
    <x v="2"/>
    <n v="507963.82400000002"/>
    <s v="NA"/>
    <s v="No"/>
    <s v="Yes"/>
    <s v="No"/>
    <s v="No"/>
    <s v="No"/>
    <m/>
    <n v="23206"/>
  </r>
  <r>
    <s v="C221 Ph. B2"/>
    <s v="C221"/>
    <x v="0"/>
    <x v="4"/>
    <s v="San Diego"/>
    <d v="2021-10-20T00:00:00"/>
    <d v="2023-11-06T00:00:00"/>
    <s v="NA"/>
    <n v="1.19"/>
    <x v="3"/>
    <n v="2839053.8111999994"/>
    <s v="NA"/>
    <s v="No"/>
    <s v="Yes"/>
    <s v="No"/>
    <s v="No"/>
    <s v="No"/>
    <n v="915"/>
    <n v="23206"/>
  </r>
  <r>
    <s v="C222 DUG Ph. 3"/>
    <s v="C222"/>
    <x v="0"/>
    <x v="5"/>
    <s v="San Diego"/>
    <d v="2020-03-30T00:00:00"/>
    <d v="2023-09-21T00:00:00"/>
    <n v="0"/>
    <n v="2.91"/>
    <x v="1"/>
    <n v="1682714.7167999998"/>
    <s v="NA"/>
    <s v="No"/>
    <s v="Yes"/>
    <s v="No"/>
    <s v="No"/>
    <s v="No"/>
    <n v="438"/>
    <n v="37264"/>
  </r>
  <r>
    <s v="C222 Ph. DD"/>
    <s v="C222"/>
    <x v="0"/>
    <x v="6"/>
    <s v="San Diego"/>
    <d v="2022-03-29T00:00:00"/>
    <d v="2023-12-12T00:00:00"/>
    <n v="0"/>
    <n v="2.42"/>
    <x v="4"/>
    <n v="3415588.1815999998"/>
    <s v="NA"/>
    <s v="No"/>
    <s v="Yes"/>
    <s v="No"/>
    <s v="No"/>
    <s v="No"/>
    <n v="245"/>
    <n v="37264"/>
  </r>
  <r>
    <s v="C222 Ph. EE"/>
    <s v="C222"/>
    <x v="0"/>
    <x v="6"/>
    <s v="San Diego"/>
    <d v="2022-03-29T00:00:00"/>
    <d v="2023-12-13T00:00:00"/>
    <n v="0"/>
    <n v="2.94"/>
    <x v="5"/>
    <n v="5291135.7612000005"/>
    <s v="NA"/>
    <s v="No"/>
    <s v="Yes"/>
    <s v="No"/>
    <s v="No"/>
    <s v="No"/>
    <n v="245"/>
    <n v="37264"/>
  </r>
  <r>
    <s v="C222 Ph. A"/>
    <s v="C222"/>
    <x v="0"/>
    <x v="7"/>
    <s v="San Diego"/>
    <d v="2022-03-15T00:00:00"/>
    <d v="2023-09-21T00:00:00"/>
    <s v="NA"/>
    <n v="0.14000000000000001"/>
    <x v="6"/>
    <n v="579650.75720000011"/>
    <s v="NA"/>
    <s v="No"/>
    <s v="Yes"/>
    <s v="No"/>
    <s v="No"/>
    <s v="No"/>
    <n v="1471"/>
    <n v="37264"/>
  </r>
  <r>
    <s v="C222 Ph. C"/>
    <s v="C222"/>
    <x v="0"/>
    <x v="5"/>
    <s v="San Diego"/>
    <d v="2022-03-15T00:00:00"/>
    <d v="2023-12-22T00:00:00"/>
    <n v="0"/>
    <n v="3.54"/>
    <x v="7"/>
    <n v="5290587.9091999996"/>
    <s v="NA"/>
    <s v="No"/>
    <s v="Yes"/>
    <s v="No"/>
    <s v="No"/>
    <s v="No"/>
    <n v="438"/>
    <n v="37264"/>
  </r>
  <r>
    <s v="C222 Ph. E"/>
    <s v="C222"/>
    <x v="0"/>
    <x v="5"/>
    <s v="San Diego"/>
    <d v="2022-03-15T00:00:00"/>
    <d v="2023-12-21T00:00:00"/>
    <n v="0"/>
    <n v="2.68"/>
    <x v="8"/>
    <n v="4052257.3564000004"/>
    <s v="NA"/>
    <s v="No"/>
    <s v="Yes"/>
    <s v="No"/>
    <s v="No"/>
    <s v="No"/>
    <n v="438"/>
    <n v="37264"/>
  </r>
  <r>
    <s v="C222 Ph. H"/>
    <s v="C222"/>
    <x v="0"/>
    <x v="8"/>
    <s v="San Diego"/>
    <d v="2022-03-15T00:00:00"/>
    <d v="2023-12-29T00:00:00"/>
    <n v="0"/>
    <n v="2.7800000000000002"/>
    <x v="9"/>
    <n v="4936066.9344000006"/>
    <s v="NA"/>
    <s v="No"/>
    <s v="Yes"/>
    <s v="No"/>
    <s v="No"/>
    <s v="No"/>
    <n v="488"/>
    <n v="37264"/>
  </r>
  <r>
    <s v="C222 Ph. L"/>
    <s v="C222"/>
    <x v="0"/>
    <x v="9"/>
    <s v="San Diego"/>
    <d v="2022-03-15T00:00:00"/>
    <d v="2023-12-14T00:00:00"/>
    <n v="0"/>
    <n v="1.59"/>
    <x v="10"/>
    <n v="2472650.9432000001"/>
    <s v="NA"/>
    <s v="No"/>
    <s v="Yes"/>
    <s v="No"/>
    <s v="No"/>
    <s v="No"/>
    <n v="287"/>
    <n v="37264"/>
  </r>
  <r>
    <s v="C222 Ph. N"/>
    <s v="C222"/>
    <x v="0"/>
    <x v="10"/>
    <s v="San Diego"/>
    <d v="2022-03-15T00:00:00"/>
    <d v="2023-12-22T00:00:00"/>
    <n v="0"/>
    <n v="0.75"/>
    <x v="11"/>
    <n v="1717945.82"/>
    <s v="NA"/>
    <s v="No"/>
    <s v="Yes"/>
    <s v="No"/>
    <s v="No"/>
    <s v="No"/>
    <n v="411"/>
    <n v="37264"/>
  </r>
  <r>
    <s v="C222 Ph. V"/>
    <s v="C222"/>
    <x v="0"/>
    <x v="11"/>
    <s v="San Diego"/>
    <d v="2022-03-15T00:00:00"/>
    <d v="2023-12-22T00:00:00"/>
    <n v="0"/>
    <n v="1.04"/>
    <x v="12"/>
    <n v="1860248.1892000001"/>
    <s v="NA"/>
    <s v="No"/>
    <s v="Yes"/>
    <s v="No"/>
    <s v="No"/>
    <s v="No"/>
    <n v="53"/>
    <n v="37264"/>
  </r>
  <r>
    <s v="C222 Ph. W"/>
    <s v="C222"/>
    <x v="0"/>
    <x v="12"/>
    <s v="San Diego"/>
    <d v="2022-03-15T00:00:00"/>
    <d v="2023-12-18T00:00:00"/>
    <n v="0"/>
    <n v="3.05"/>
    <x v="13"/>
    <n v="4324169.4139999999"/>
    <s v="NA"/>
    <s v="No"/>
    <s v="Yes"/>
    <s v="No"/>
    <s v="No"/>
    <s v="No"/>
    <n v="260"/>
    <n v="37264"/>
  </r>
  <r>
    <s v="C222 Ph. X"/>
    <s v="C222"/>
    <x v="0"/>
    <x v="12"/>
    <s v="San Diego"/>
    <d v="2022-03-15T00:00:00"/>
    <d v="2023-10-12T00:00:00"/>
    <n v="0.97650000000000003"/>
    <n v="2.87"/>
    <x v="14"/>
    <n v="4388744.1576000005"/>
    <s v="NA"/>
    <s v="No"/>
    <s v="Yes"/>
    <s v="No"/>
    <s v="No"/>
    <s v="No"/>
    <n v="260"/>
    <n v="37264"/>
  </r>
  <r>
    <s v="C222 Ph. BB"/>
    <s v="C222"/>
    <x v="0"/>
    <x v="12"/>
    <s v="San Diego"/>
    <d v="2022-03-15T00:00:00"/>
    <d v="2023-12-27T00:00:00"/>
    <n v="0"/>
    <n v="1.1399999999999999"/>
    <x v="15"/>
    <n v="1874009.0071999999"/>
    <s v="NA"/>
    <s v="No"/>
    <s v="Yes"/>
    <s v="No"/>
    <s v="No"/>
    <s v="No"/>
    <n v="260"/>
    <n v="37264"/>
  </r>
  <r>
    <s v="C358 DUG Ph. 2"/>
    <s v="C358"/>
    <x v="0"/>
    <x v="13"/>
    <s v="San Diego"/>
    <d v="2021-06-04T00:00:00"/>
    <d v="2023-12-21T00:00:00"/>
    <n v="0"/>
    <n v="2.3199999999999998"/>
    <x v="16"/>
    <n v="7206937.2836000007"/>
    <s v="NA"/>
    <s v="No"/>
    <s v="Yes"/>
    <s v="No"/>
    <s v="Yes"/>
    <s v="No"/>
    <n v="360"/>
    <n v="21784"/>
  </r>
  <r>
    <s v="C441 DUG Ph. B"/>
    <s v="C441"/>
    <x v="0"/>
    <x v="14"/>
    <s v="San Diego"/>
    <d v="2020-03-18T00:00:00"/>
    <d v="2023-07-14T00:00:00"/>
    <s v="NA"/>
    <n v="0.2"/>
    <x v="17"/>
    <n v="692853.85600000003"/>
    <s v="NA"/>
    <s v="No"/>
    <s v="Yes"/>
    <s v="No"/>
    <s v="No"/>
    <s v="No"/>
    <n v="91"/>
    <n v="23270"/>
  </r>
  <r>
    <s v="C445 Ph. A "/>
    <s v="C445 "/>
    <x v="0"/>
    <x v="15"/>
    <s v="San Diego"/>
    <d v="2022-03-15T00:00:00"/>
    <d v="2023-12-21T00:00:00"/>
    <n v="0"/>
    <n v="1.52"/>
    <x v="18"/>
    <n v="2220529.1396000003"/>
    <s v="NA"/>
    <s v="No"/>
    <s v="Yes"/>
    <s v="No"/>
    <s v="No"/>
    <s v="No"/>
    <n v="89"/>
    <n v="28176"/>
  </r>
  <r>
    <s v="C445 Ph. B"/>
    <s v="C445 "/>
    <x v="0"/>
    <x v="16"/>
    <s v="San Diego"/>
    <d v="2022-03-15T00:00:00"/>
    <d v="2023-11-09T00:00:00"/>
    <n v="0"/>
    <n v="2.63"/>
    <x v="19"/>
    <n v="3113613.2124000001"/>
    <s v="NA"/>
    <s v="No"/>
    <s v="Yes"/>
    <s v="No"/>
    <s v="No"/>
    <s v="No"/>
    <n v="57"/>
    <n v="28176"/>
  </r>
  <r>
    <s v="C445 Ph. C"/>
    <s v="C445 "/>
    <x v="0"/>
    <x v="16"/>
    <s v="San Diego"/>
    <d v="2022-03-15T00:00:00"/>
    <d v="2023-11-30T00:00:00"/>
    <n v="0"/>
    <n v="2.0700000000000003"/>
    <x v="20"/>
    <n v="3031842.8435999998"/>
    <s v="NA"/>
    <s v="No"/>
    <s v="Yes"/>
    <s v="No"/>
    <s v="No"/>
    <s v="No"/>
    <n v="57"/>
    <n v="28176"/>
  </r>
  <r>
    <s v="C445 Ph. F"/>
    <s v="C445 "/>
    <x v="0"/>
    <x v="17"/>
    <s v="San Diego"/>
    <d v="2022-03-15T00:00:00"/>
    <d v="2024-04-29T00:00:00"/>
    <n v="0"/>
    <n v="1.38"/>
    <x v="21"/>
    <n v="3886515.0424000002"/>
    <s v="NA"/>
    <s v="No"/>
    <s v="Yes"/>
    <s v="No"/>
    <s v="No"/>
    <s v="No"/>
    <n v="865"/>
    <n v="28176"/>
  </r>
  <r>
    <s v="C445 Ph. O"/>
    <s v="C445 "/>
    <x v="0"/>
    <x v="18"/>
    <s v="San Diego"/>
    <d v="2022-03-15T00:00:00"/>
    <d v="2023-12-19T00:00:00"/>
    <n v="0"/>
    <n v="0.96749999999999992"/>
    <x v="22"/>
    <n v="2247977.0044"/>
    <s v="NA"/>
    <s v="No"/>
    <s v="Yes"/>
    <s v="No"/>
    <s v="No"/>
    <s v="No"/>
    <n v="356"/>
    <n v="28176"/>
  </r>
  <r>
    <s v="C73 Ph. A "/>
    <s v="C73"/>
    <x v="0"/>
    <x v="19"/>
    <s v="San Diego"/>
    <d v="2022-03-15T00:00:00"/>
    <d v="2023-11-17T00:00:00"/>
    <n v="0"/>
    <n v="2.66"/>
    <x v="23"/>
    <n v="4076097.0068000001"/>
    <s v="NA"/>
    <s v="No"/>
    <s v="Yes"/>
    <s v="No"/>
    <s v="No"/>
    <s v="No"/>
    <n v="756"/>
    <n v="14052"/>
  </r>
  <r>
    <s v="C75 DUG Ph. 2 - Services"/>
    <s v="C75"/>
    <x v="0"/>
    <x v="20"/>
    <s v="San Diego"/>
    <d v="2021-06-01T00:00:00"/>
    <d v="2023-02-15T00:00:00"/>
    <n v="0.71970000000000001"/>
    <n v="0.01"/>
    <x v="0"/>
    <s v="NA"/>
    <s v="NA"/>
    <s v="No"/>
    <s v="Yes"/>
    <s v="No"/>
    <s v="No"/>
    <s v="No"/>
    <m/>
    <n v="15147"/>
  </r>
  <r>
    <s v="C972 Ph. A - Services"/>
    <s v="C972"/>
    <x v="0"/>
    <x v="21"/>
    <s v="San Diego"/>
    <d v="2021-06-03T00:00:00"/>
    <d v="2023-02-11T00:00:00"/>
    <n v="0"/>
    <n v="1.72"/>
    <x v="0"/>
    <s v="NA"/>
    <s v="NA"/>
    <s v="No"/>
    <s v="Yes"/>
    <s v="No"/>
    <s v="No"/>
    <s v="No"/>
    <n v="2902"/>
    <n v="4112"/>
  </r>
  <r>
    <s v="C972 Ph. B - Services"/>
    <s v="C972"/>
    <x v="0"/>
    <x v="21"/>
    <s v="San Diego"/>
    <d v="2021-06-03T00:00:00"/>
    <d v="2023-03-02T00:00:00"/>
    <n v="2.5226999999999999"/>
    <n v="1.23"/>
    <x v="0"/>
    <s v="NA"/>
    <s v="NA"/>
    <s v="No"/>
    <s v="Yes"/>
    <s v="No"/>
    <s v="Yes"/>
    <s v="No"/>
    <n v="2902"/>
    <n v="4112"/>
  </r>
  <r>
    <s v="C972 Ph. C "/>
    <s v="C972"/>
    <x v="0"/>
    <x v="22"/>
    <s v="San Diego"/>
    <d v="2022-03-16T00:00:00"/>
    <d v="2023-11-17T00:00:00"/>
    <n v="0"/>
    <n v="6.08"/>
    <x v="24"/>
    <n v="11244514.568400001"/>
    <s v="NA"/>
    <s v="No"/>
    <s v="Yes"/>
    <s v="No"/>
    <s v="Yes"/>
    <s v="No"/>
    <n v="2749"/>
    <n v="4112"/>
  </r>
  <r>
    <s v="COK1 Ph. A"/>
    <s v="OK1"/>
    <x v="0"/>
    <x v="23"/>
    <s v="San Diego"/>
    <d v="2021-10-20T00:00:00"/>
    <d v="2023-09-05T00:00:00"/>
    <n v="2.9365999999999999"/>
    <n v="8.44"/>
    <x v="25"/>
    <n v="12121397.0712"/>
    <s v="NA"/>
    <s v="No"/>
    <s v="Yes"/>
    <s v="No"/>
    <s v="No"/>
    <s v="No"/>
    <n v="62"/>
    <n v="13313"/>
  </r>
  <r>
    <s v="COK1 Ph. B"/>
    <s v="OK1"/>
    <x v="0"/>
    <x v="23"/>
    <s v="San Diego"/>
    <d v="2021-10-20T00:00:00"/>
    <d v="2023-09-05T00:00:00"/>
    <n v="4.9654999999999996"/>
    <n v="6.13"/>
    <x v="26"/>
    <n v="9293720.7623999994"/>
    <s v="NA"/>
    <s v="No"/>
    <s v="Yes"/>
    <s v="No"/>
    <s v="No"/>
    <s v="No"/>
    <n v="62"/>
    <n v="13313"/>
  </r>
  <r>
    <s v="CSL1 Ph. A - Services"/>
    <s v="SL1"/>
    <x v="0"/>
    <x v="24"/>
    <s v="San Diego"/>
    <d v="2021-10-20T00:00:00"/>
    <d v="2023-01-27T00:00:00"/>
    <n v="0.35439999999999999"/>
    <n v="0.39"/>
    <x v="0"/>
    <s v="NA"/>
    <s v="NA"/>
    <s v="No"/>
    <s v="Yes"/>
    <s v="No"/>
    <s v="No"/>
    <s v="No"/>
    <n v="223"/>
    <n v="13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CEAD5-33EC-9A4F-8C35-A944C4189909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rcuit Segment">
  <location ref="A3:F22" firstHeaderRow="0" firstDataRow="1" firstDataCol="1" rowPageCount="1" colPageCount="1"/>
  <pivotFields count="19">
    <pivotField showAll="0"/>
    <pivotField showAll="0"/>
    <pivotField showAll="0">
      <items count="2">
        <item x="0"/>
        <item t="default"/>
      </items>
    </pivotField>
    <pivotField axis="axisRow" dataField="1" showAll="0">
      <items count="26">
        <item x="0"/>
        <item x="1"/>
        <item x="4"/>
        <item x="3"/>
        <item x="2"/>
        <item x="5"/>
        <item x="10"/>
        <item x="12"/>
        <item x="11"/>
        <item x="9"/>
        <item x="8"/>
        <item x="6"/>
        <item x="13"/>
        <item x="16"/>
        <item x="15"/>
        <item x="17"/>
        <item x="18"/>
        <item x="20"/>
        <item x="21"/>
        <item x="22"/>
        <item x="7"/>
        <item x="14"/>
        <item x="19"/>
        <item x="23"/>
        <item x="24"/>
        <item t="default"/>
      </items>
    </pivotField>
    <pivotField showAll="0"/>
    <pivotField numFmtId="14" showAll="0"/>
    <pivotField numFmtId="14" showAll="0"/>
    <pivotField showAll="0"/>
    <pivotField numFmtId="2" showAll="0"/>
    <pivotField axis="axisPage" dataField="1" multipleItemSelectionAllowed="1" showAll="0">
      <items count="28">
        <item h="1" x="6"/>
        <item h="1" x="17"/>
        <item x="2"/>
        <item x="12"/>
        <item x="15"/>
        <item x="3"/>
        <item x="11"/>
        <item x="22"/>
        <item x="10"/>
        <item x="4"/>
        <item x="16"/>
        <item x="18"/>
        <item x="14"/>
        <item x="20"/>
        <item x="23"/>
        <item x="5"/>
        <item x="1"/>
        <item x="19"/>
        <item x="9"/>
        <item x="13"/>
        <item x="8"/>
        <item x="24"/>
        <item x="7"/>
        <item x="26"/>
        <item x="25"/>
        <item x="21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9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-1"/>
  </pageFields>
  <dataFields count="5">
    <dataField name="Count of (d) Circuit Segment ID Partially Underground" fld="3" subtotal="count" baseField="0" baseItem="0"/>
    <dataField name="Sum of (j) Total Trench Miles  - 6" fld="9" baseField="0" baseItem="0"/>
    <dataField name="Sum of (k) Total Electric Cost - 7" fld="10" baseField="0" baseItem="0"/>
    <dataField name="Min of Total Customers" fld="17" subtotal="min" baseField="0" baseItem="0"/>
    <dataField name="Sum of Minutes of PSPS Outage by Circuit" fld="18" baseField="0" baseItem="0"/>
  </dataFields>
  <formats count="2">
    <format dxfId="3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EA2D4-DFEE-4A4C-9BCA-A600497EEA3E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2" firstHeaderRow="0" firstDataRow="1" firstDataCol="1" rowPageCount="1" colPageCount="1"/>
  <pivotFields count="19">
    <pivotField showAll="0"/>
    <pivotField showAll="0"/>
    <pivotField showAll="0">
      <items count="2">
        <item x="0"/>
        <item t="default"/>
      </items>
    </pivotField>
    <pivotField axis="axisRow" dataField="1" showAll="0">
      <items count="26">
        <item x="0"/>
        <item x="1"/>
        <item x="4"/>
        <item x="3"/>
        <item x="2"/>
        <item x="5"/>
        <item x="10"/>
        <item x="12"/>
        <item x="11"/>
        <item x="9"/>
        <item x="8"/>
        <item x="6"/>
        <item x="13"/>
        <item x="16"/>
        <item x="15"/>
        <item x="17"/>
        <item x="18"/>
        <item x="20"/>
        <item x="21"/>
        <item x="22"/>
        <item x="7"/>
        <item x="14"/>
        <item x="19"/>
        <item x="23"/>
        <item x="24"/>
        <item t="default"/>
      </items>
    </pivotField>
    <pivotField showAll="0"/>
    <pivotField numFmtId="14" showAll="0"/>
    <pivotField numFmtId="14" showAll="0"/>
    <pivotField showAll="0"/>
    <pivotField numFmtId="2" showAll="0"/>
    <pivotField axis="axisPage" dataField="1" multipleItemSelectionAllowed="1" showAll="0">
      <items count="28">
        <item h="1" x="6"/>
        <item h="1" x="17"/>
        <item x="2"/>
        <item x="12"/>
        <item x="15"/>
        <item x="3"/>
        <item x="11"/>
        <item x="22"/>
        <item x="10"/>
        <item x="4"/>
        <item x="16"/>
        <item x="18"/>
        <item x="14"/>
        <item x="20"/>
        <item x="23"/>
        <item x="5"/>
        <item x="1"/>
        <item x="19"/>
        <item x="9"/>
        <item x="13"/>
        <item x="8"/>
        <item x="24"/>
        <item x="7"/>
        <item x="26"/>
        <item x="25"/>
        <item x="21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9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-1"/>
  </pageFields>
  <dataFields count="5">
    <dataField name="Count of (d) Circuit Segment ID Partially Underground" fld="3" subtotal="count" baseField="0" baseItem="0"/>
    <dataField name="Sum of (j) Total Trench Miles  - 6" fld="9" baseField="0" baseItem="0"/>
    <dataField name="Sum of (k) Total Electric Cost - 7" fld="10" baseField="0" baseItem="0"/>
    <dataField name="Min of Total Customers" fld="17" subtotal="min" baseField="0" baseItem="0"/>
    <dataField name="Sum of Minutes of PSPS Outage by Circuit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6106B-54FB-44EA-9D7E-AFC41BEF02E3}" name="Table1" displayName="Table1" ref="A1:S34" totalsRowShown="0" headerRowDxfId="20">
  <sortState xmlns:xlrd2="http://schemas.microsoft.com/office/spreadsheetml/2017/richdata2" ref="A2:Q34">
    <sortCondition ref="B1:B34"/>
  </sortState>
  <tableColumns count="19">
    <tableColumn id="1" xr3:uid="{880780C6-114D-4AD9-A07D-F9E9ACDCD292}" name="(a) Project ID - 1"/>
    <tableColumn id="2" xr3:uid="{F9B34887-5BA6-4530-8B6B-7C8E82747336}" name="(b) Circuit ID"/>
    <tableColumn id="3" xr3:uid="{53241746-01E2-4FCE-8089-00FBF4850812}" name="(c) Circuit Segment ID Entirely Underground" dataDxfId="19"/>
    <tableColumn id="4" xr3:uid="{FFC1EE45-BB72-49F2-8E4D-8A7D3231D4F3}" name="(d) Circuit Segment ID Partially Underground" dataDxfId="18"/>
    <tableColumn id="5" xr3:uid="{C5D0B29B-3A85-4618-BDEB-E2A9077F9BEE}" name="(e) County" dataDxfId="17"/>
    <tableColumn id="6" xr3:uid="{C844F8F7-CAE4-40FE-8F62-B0937E95EA8B}" name="(f) Project Start Date - 2" dataDxfId="16"/>
    <tableColumn id="7" xr3:uid="{57D484DB-5422-4DF9-A549-F137C4B1FF5D}" name="(g) Project Completion Date - 3" dataDxfId="15"/>
    <tableColumn id="8" xr3:uid="{9840405D-D512-47BC-A469-4CF7A5C05DF6}" name="(h) Total Overhead Miles Removed - 4" dataDxfId="14"/>
    <tableColumn id="9" xr3:uid="{14247499-7E71-48AB-8AD8-79587D943A4C}" name="(i) Total Cable Miles Installed - 5" dataDxfId="13"/>
    <tableColumn id="10" xr3:uid="{ADEE8B42-E459-41B9-80ED-E5C0E33F742F}" name="(j) Total Trench Miles  - 6" dataDxfId="12"/>
    <tableColumn id="11" xr3:uid="{CE3C9479-1658-4014-913B-CA1043B75EB7}" name="(k) Total Electric Cost - 7" dataDxfId="11"/>
    <tableColumn id="12" xr3:uid="{35538AD6-2AA1-497B-9D02-8AEC6C97AB7E}" name="(l) Total Cost - Inc Non-Electric Utilities - 8" dataDxfId="10"/>
    <tableColumn id="13" xr3:uid="{988CE22B-F098-426E-AF9B-6588316B1E23}" name="(m) Rule 20?" dataDxfId="9"/>
    <tableColumn id="14" xr3:uid="{69BAD8E3-83D0-4EA1-9B1F-B50037BA4D14}" name="(n) WMP?" dataDxfId="8"/>
    <tableColumn id="15" xr3:uid="{47B49D9A-50DB-4EB9-81A4-F4B540165DED}" name="Post-wildfire Rebuild?" dataDxfId="7"/>
    <tableColumn id="16" xr3:uid="{6766DD01-E7A9-419A-AC60-E52A94B56EB1}" name="Shared Trench with Com?" dataDxfId="6"/>
    <tableColumn id="17" xr3:uid="{37727CAE-8840-4266-BB51-A44E262B85E9}" name="Shared Trench with Gas?" dataDxfId="5"/>
    <tableColumn id="18" xr3:uid="{7B8118E6-A8EC-412A-A71F-11941CE2584C}" name="Total Customers" dataDxfId="4"/>
    <tableColumn id="19" xr3:uid="{3956D643-72C6-4D5B-AAA7-9A4681088503}" name="Minutes of PSPS Outage by Circui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9757-4CB1-FE4B-9103-D4BD12BC2571}">
  <dimension ref="A1:O24"/>
  <sheetViews>
    <sheetView tabSelected="1" workbookViewId="0">
      <selection activeCell="M24" sqref="M24"/>
    </sheetView>
  </sheetViews>
  <sheetFormatPr baseColWidth="10" defaultRowHeight="15" x14ac:dyDescent="0.2"/>
  <cols>
    <col min="1" max="1" width="19.33203125" bestFit="1" customWidth="1"/>
    <col min="2" max="2" width="43" hidden="1" customWidth="1"/>
    <col min="3" max="3" width="25.5" hidden="1" customWidth="1"/>
    <col min="4" max="4" width="25" hidden="1" customWidth="1"/>
    <col min="5" max="5" width="19" hidden="1" customWidth="1"/>
    <col min="6" max="6" width="23.1640625" hidden="1" customWidth="1"/>
    <col min="7" max="7" width="10.83203125" customWidth="1"/>
    <col min="8" max="8" width="15.6640625" style="12" customWidth="1"/>
    <col min="9" max="10" width="13.33203125" customWidth="1"/>
    <col min="11" max="11" width="14.6640625" customWidth="1"/>
    <col min="12" max="12" width="14" customWidth="1"/>
    <col min="13" max="14" width="14.33203125" customWidth="1"/>
  </cols>
  <sheetData>
    <row r="1" spans="1:15" x14ac:dyDescent="0.2">
      <c r="A1" t="s">
        <v>9</v>
      </c>
      <c r="B1" t="s">
        <v>108</v>
      </c>
    </row>
    <row r="3" spans="1:15" ht="64" x14ac:dyDescent="0.2">
      <c r="A3" s="22" t="s">
        <v>117</v>
      </c>
      <c r="B3" s="22" t="s">
        <v>102</v>
      </c>
      <c r="C3" s="22" t="s">
        <v>105</v>
      </c>
      <c r="D3" s="22" t="s">
        <v>106</v>
      </c>
      <c r="E3" s="22" t="s">
        <v>107</v>
      </c>
      <c r="F3" s="22" t="s">
        <v>115</v>
      </c>
      <c r="G3" s="23" t="s">
        <v>111</v>
      </c>
      <c r="H3" s="24" t="s">
        <v>110</v>
      </c>
      <c r="I3" s="23" t="s">
        <v>112</v>
      </c>
      <c r="J3" s="23" t="s">
        <v>116</v>
      </c>
      <c r="K3" s="23" t="s">
        <v>109</v>
      </c>
      <c r="L3" s="25" t="s">
        <v>113</v>
      </c>
      <c r="M3" s="26" t="s">
        <v>114</v>
      </c>
      <c r="N3" s="26" t="s">
        <v>119</v>
      </c>
      <c r="O3" s="25" t="s">
        <v>118</v>
      </c>
    </row>
    <row r="4" spans="1:15" x14ac:dyDescent="0.2">
      <c r="A4" s="10" t="s">
        <v>28</v>
      </c>
      <c r="B4" s="14">
        <v>1</v>
      </c>
      <c r="C4" s="14">
        <v>2.46</v>
      </c>
      <c r="D4" s="14">
        <v>15249570.432399999</v>
      </c>
      <c r="E4" s="14">
        <v>1651</v>
      </c>
      <c r="F4" s="14">
        <v>23206</v>
      </c>
      <c r="G4">
        <v>2.46</v>
      </c>
      <c r="H4" s="12">
        <v>15249570.432399999</v>
      </c>
      <c r="I4">
        <v>1651</v>
      </c>
      <c r="J4">
        <v>23206</v>
      </c>
      <c r="K4" s="11">
        <f>H4/I4</f>
        <v>9236.565979648698</v>
      </c>
      <c r="L4" s="2" t="str">
        <f>IF(K4&gt;60000,"Y","")</f>
        <v/>
      </c>
      <c r="M4" s="12">
        <f>IF(L4="Y",60000*I4,H4)</f>
        <v>15249570.432399999</v>
      </c>
      <c r="N4" s="21">
        <f>I4*J4</f>
        <v>38313106</v>
      </c>
      <c r="O4" s="17">
        <f>H4/N4</f>
        <v>0.39802490647456251</v>
      </c>
    </row>
    <row r="5" spans="1:15" x14ac:dyDescent="0.2">
      <c r="A5" s="10" t="s">
        <v>34</v>
      </c>
      <c r="B5" s="14">
        <v>1</v>
      </c>
      <c r="C5" s="14">
        <v>1.2</v>
      </c>
      <c r="D5" s="14">
        <v>2839053.8111999994</v>
      </c>
      <c r="E5" s="14">
        <v>915</v>
      </c>
      <c r="F5" s="14">
        <v>23206</v>
      </c>
      <c r="G5">
        <v>1.2</v>
      </c>
      <c r="H5" s="12">
        <v>2839053.8111999994</v>
      </c>
      <c r="I5">
        <v>915</v>
      </c>
      <c r="J5">
        <v>23206</v>
      </c>
      <c r="K5" s="11">
        <f t="shared" ref="K5:K22" si="0">H5/I5</f>
        <v>3102.7910504918027</v>
      </c>
      <c r="L5" s="2" t="str">
        <f t="shared" ref="L5:L22" si="1">IF(K5&gt;60000,"Y","")</f>
        <v/>
      </c>
      <c r="M5" s="12">
        <f t="shared" ref="M5:M21" si="2">IF(L5="Y",60000*I5,H5)</f>
        <v>2839053.8111999994</v>
      </c>
      <c r="N5" s="21">
        <f t="shared" ref="N5:N21" si="3">I5*J5</f>
        <v>21233490</v>
      </c>
      <c r="O5" s="17">
        <f t="shared" ref="O5:O22" si="4">H5/N5</f>
        <v>0.13370641431060082</v>
      </c>
    </row>
    <row r="6" spans="1:15" x14ac:dyDescent="0.2">
      <c r="A6" s="10" t="s">
        <v>32</v>
      </c>
      <c r="B6" s="14">
        <v>1</v>
      </c>
      <c r="C6" s="14">
        <v>0.15</v>
      </c>
      <c r="D6" s="14">
        <v>507963.82400000002</v>
      </c>
      <c r="E6" s="14"/>
      <c r="F6" s="14">
        <v>23206</v>
      </c>
      <c r="G6">
        <v>0.15</v>
      </c>
      <c r="H6" s="12">
        <v>507963.82400000002</v>
      </c>
      <c r="J6">
        <v>23206</v>
      </c>
      <c r="K6" s="11" t="e">
        <f t="shared" si="0"/>
        <v>#DIV/0!</v>
      </c>
      <c r="L6" s="2"/>
      <c r="M6" s="12">
        <f t="shared" si="2"/>
        <v>507963.82400000002</v>
      </c>
      <c r="N6" s="21">
        <f t="shared" si="3"/>
        <v>0</v>
      </c>
      <c r="O6" s="17"/>
    </row>
    <row r="7" spans="1:15" x14ac:dyDescent="0.2">
      <c r="A7" s="10" t="s">
        <v>37</v>
      </c>
      <c r="B7" s="14">
        <v>3</v>
      </c>
      <c r="C7" s="14">
        <v>8.8000000000000007</v>
      </c>
      <c r="D7" s="14">
        <v>11025559.9824</v>
      </c>
      <c r="E7" s="14">
        <v>438</v>
      </c>
      <c r="F7" s="14">
        <v>111792</v>
      </c>
      <c r="G7">
        <v>8.8000000000000007</v>
      </c>
      <c r="H7" s="12">
        <v>11025559.9824</v>
      </c>
      <c r="I7">
        <v>438</v>
      </c>
      <c r="J7">
        <v>111792</v>
      </c>
      <c r="K7" s="11">
        <f t="shared" si="0"/>
        <v>25172.511375342467</v>
      </c>
      <c r="L7" s="2" t="str">
        <f t="shared" si="1"/>
        <v/>
      </c>
      <c r="M7" s="12">
        <f t="shared" si="2"/>
        <v>11025559.9824</v>
      </c>
      <c r="N7" s="21">
        <f t="shared" si="3"/>
        <v>48964896</v>
      </c>
      <c r="O7" s="17">
        <f t="shared" si="4"/>
        <v>0.22517274380405097</v>
      </c>
    </row>
    <row r="8" spans="1:15" x14ac:dyDescent="0.2">
      <c r="A8" s="10" t="s">
        <v>50</v>
      </c>
      <c r="B8" s="14">
        <v>1</v>
      </c>
      <c r="C8" s="14">
        <v>1.26</v>
      </c>
      <c r="D8" s="14">
        <v>1717945.82</v>
      </c>
      <c r="E8" s="14">
        <v>411</v>
      </c>
      <c r="F8" s="14">
        <v>37264</v>
      </c>
      <c r="G8">
        <v>1.26</v>
      </c>
      <c r="H8" s="12">
        <v>1717945.82</v>
      </c>
      <c r="I8">
        <v>411</v>
      </c>
      <c r="J8">
        <v>37264</v>
      </c>
      <c r="K8" s="11">
        <f t="shared" si="0"/>
        <v>4179.9168369829686</v>
      </c>
      <c r="L8" s="2" t="str">
        <f t="shared" si="1"/>
        <v/>
      </c>
      <c r="M8" s="12">
        <f t="shared" si="2"/>
        <v>1717945.82</v>
      </c>
      <c r="N8" s="21">
        <f t="shared" si="3"/>
        <v>15315504</v>
      </c>
      <c r="O8" s="17">
        <f t="shared" si="4"/>
        <v>0.11217037454333857</v>
      </c>
    </row>
    <row r="9" spans="1:15" x14ac:dyDescent="0.2">
      <c r="A9" s="10" t="s">
        <v>54</v>
      </c>
      <c r="B9" s="14">
        <v>3</v>
      </c>
      <c r="C9" s="14">
        <v>5.53</v>
      </c>
      <c r="D9" s="14">
        <v>10586922.5788</v>
      </c>
      <c r="E9" s="14">
        <v>260</v>
      </c>
      <c r="F9" s="14">
        <v>111792</v>
      </c>
      <c r="G9">
        <v>5.53</v>
      </c>
      <c r="H9" s="12">
        <v>10586922.5788</v>
      </c>
      <c r="I9">
        <v>260</v>
      </c>
      <c r="J9">
        <v>111792</v>
      </c>
      <c r="K9" s="11">
        <f t="shared" si="0"/>
        <v>40718.932995384617</v>
      </c>
      <c r="L9" s="2" t="str">
        <f t="shared" si="1"/>
        <v/>
      </c>
      <c r="M9" s="12">
        <f t="shared" si="2"/>
        <v>10586922.5788</v>
      </c>
      <c r="N9" s="21">
        <f t="shared" si="3"/>
        <v>29065920</v>
      </c>
      <c r="O9" s="17">
        <f t="shared" si="4"/>
        <v>0.36423834438407593</v>
      </c>
    </row>
    <row r="10" spans="1:15" x14ac:dyDescent="0.2">
      <c r="A10" s="10" t="s">
        <v>52</v>
      </c>
      <c r="B10" s="14">
        <v>1</v>
      </c>
      <c r="C10" s="14">
        <v>1</v>
      </c>
      <c r="D10" s="14">
        <v>1860248.1892000001</v>
      </c>
      <c r="E10" s="14">
        <v>53</v>
      </c>
      <c r="F10" s="14">
        <v>37264</v>
      </c>
      <c r="G10">
        <v>1</v>
      </c>
      <c r="H10" s="12">
        <v>1860248.1892000001</v>
      </c>
      <c r="I10">
        <v>53</v>
      </c>
      <c r="J10">
        <v>37264</v>
      </c>
      <c r="K10" s="11">
        <f t="shared" si="0"/>
        <v>35099.022437735854</v>
      </c>
      <c r="L10" s="2" t="str">
        <f t="shared" si="1"/>
        <v/>
      </c>
      <c r="M10" s="12">
        <f t="shared" si="2"/>
        <v>1860248.1892000001</v>
      </c>
      <c r="N10" s="21">
        <f t="shared" si="3"/>
        <v>1974992</v>
      </c>
      <c r="O10" s="17">
        <f t="shared" si="4"/>
        <v>0.94190163261420812</v>
      </c>
    </row>
    <row r="11" spans="1:15" x14ac:dyDescent="0.2">
      <c r="A11" s="10" t="s">
        <v>48</v>
      </c>
      <c r="B11" s="14">
        <v>1</v>
      </c>
      <c r="C11" s="14">
        <v>1.34</v>
      </c>
      <c r="D11" s="14">
        <v>2472650.9432000001</v>
      </c>
      <c r="E11" s="14">
        <v>287</v>
      </c>
      <c r="F11" s="14">
        <v>37264</v>
      </c>
      <c r="G11">
        <v>1.34</v>
      </c>
      <c r="H11" s="12">
        <v>2472650.9432000001</v>
      </c>
      <c r="I11">
        <v>287</v>
      </c>
      <c r="J11">
        <v>37264</v>
      </c>
      <c r="K11" s="11">
        <f t="shared" si="0"/>
        <v>8615.5085128919873</v>
      </c>
      <c r="L11" s="2" t="str">
        <f t="shared" si="1"/>
        <v/>
      </c>
      <c r="M11" s="12">
        <f t="shared" si="2"/>
        <v>2472650.9432000001</v>
      </c>
      <c r="N11" s="21">
        <f t="shared" si="3"/>
        <v>10694768</v>
      </c>
      <c r="O11" s="17">
        <f t="shared" si="4"/>
        <v>0.23120192445502324</v>
      </c>
    </row>
    <row r="12" spans="1:15" x14ac:dyDescent="0.2">
      <c r="A12" s="10" t="s">
        <v>46</v>
      </c>
      <c r="B12" s="14">
        <v>1</v>
      </c>
      <c r="C12" s="14">
        <v>2.65</v>
      </c>
      <c r="D12" s="14">
        <v>4936066.9344000006</v>
      </c>
      <c r="E12" s="14">
        <v>488</v>
      </c>
      <c r="F12" s="14">
        <v>37264</v>
      </c>
      <c r="G12">
        <v>2.65</v>
      </c>
      <c r="H12" s="12">
        <v>4936066.9344000006</v>
      </c>
      <c r="I12">
        <v>488</v>
      </c>
      <c r="J12">
        <v>37264</v>
      </c>
      <c r="K12" s="11">
        <f t="shared" si="0"/>
        <v>10114.891259016395</v>
      </c>
      <c r="L12" s="2" t="str">
        <f t="shared" si="1"/>
        <v/>
      </c>
      <c r="M12" s="12">
        <f t="shared" si="2"/>
        <v>4936066.9344000006</v>
      </c>
      <c r="N12" s="21">
        <f t="shared" si="3"/>
        <v>18184832</v>
      </c>
      <c r="O12" s="17">
        <f t="shared" si="4"/>
        <v>0.27143868771512436</v>
      </c>
    </row>
    <row r="13" spans="1:15" x14ac:dyDescent="0.2">
      <c r="A13" s="10" t="s">
        <v>39</v>
      </c>
      <c r="B13" s="14">
        <v>2</v>
      </c>
      <c r="C13" s="14">
        <v>3.72</v>
      </c>
      <c r="D13" s="14">
        <v>8706723.9428000003</v>
      </c>
      <c r="E13" s="14">
        <v>245</v>
      </c>
      <c r="F13" s="14">
        <v>74528</v>
      </c>
      <c r="G13">
        <v>3.72</v>
      </c>
      <c r="H13" s="12">
        <v>8706723.9428000003</v>
      </c>
      <c r="I13">
        <v>245</v>
      </c>
      <c r="J13">
        <v>74528</v>
      </c>
      <c r="K13" s="11">
        <f t="shared" si="0"/>
        <v>35537.648746122453</v>
      </c>
      <c r="L13" s="2" t="str">
        <f t="shared" si="1"/>
        <v/>
      </c>
      <c r="M13" s="12">
        <f t="shared" si="2"/>
        <v>8706723.9428000003</v>
      </c>
      <c r="N13" s="21">
        <f t="shared" si="3"/>
        <v>18259360</v>
      </c>
      <c r="O13" s="17">
        <f t="shared" si="4"/>
        <v>0.47683620580348929</v>
      </c>
    </row>
    <row r="14" spans="1:15" x14ac:dyDescent="0.2">
      <c r="A14" s="10" t="s">
        <v>59</v>
      </c>
      <c r="B14" s="14">
        <v>1</v>
      </c>
      <c r="C14" s="14">
        <v>1.58</v>
      </c>
      <c r="D14" s="14">
        <v>7206937.2836000007</v>
      </c>
      <c r="E14" s="14">
        <v>360</v>
      </c>
      <c r="F14" s="14">
        <v>21784</v>
      </c>
      <c r="G14">
        <v>1.58</v>
      </c>
      <c r="H14" s="12">
        <v>7206937.2836000007</v>
      </c>
      <c r="I14">
        <v>360</v>
      </c>
      <c r="J14">
        <v>21784</v>
      </c>
      <c r="K14" s="11">
        <f t="shared" si="0"/>
        <v>20019.270232222225</v>
      </c>
      <c r="L14" s="2" t="str">
        <f t="shared" si="1"/>
        <v/>
      </c>
      <c r="M14" s="12">
        <f t="shared" si="2"/>
        <v>7206937.2836000007</v>
      </c>
      <c r="N14" s="21">
        <f t="shared" si="3"/>
        <v>7842240</v>
      </c>
      <c r="O14" s="17">
        <f t="shared" si="4"/>
        <v>0.91898963607336692</v>
      </c>
    </row>
    <row r="15" spans="1:15" x14ac:dyDescent="0.2">
      <c r="A15" s="10" t="s">
        <v>67</v>
      </c>
      <c r="B15" s="14">
        <v>2</v>
      </c>
      <c r="C15" s="14">
        <v>4.47</v>
      </c>
      <c r="D15" s="14">
        <v>6145456.0559999999</v>
      </c>
      <c r="E15" s="14">
        <v>57</v>
      </c>
      <c r="F15" s="14">
        <v>56352</v>
      </c>
      <c r="G15">
        <v>4.47</v>
      </c>
      <c r="H15" s="12">
        <v>6145456.0559999999</v>
      </c>
      <c r="I15">
        <v>57</v>
      </c>
      <c r="J15">
        <v>56352</v>
      </c>
      <c r="K15" s="11">
        <f t="shared" si="0"/>
        <v>107815.01852631579</v>
      </c>
      <c r="L15" s="2" t="str">
        <f t="shared" si="1"/>
        <v>Y</v>
      </c>
      <c r="M15" s="12">
        <f t="shared" si="2"/>
        <v>3420000</v>
      </c>
      <c r="N15" s="21">
        <f t="shared" si="3"/>
        <v>3212064</v>
      </c>
      <c r="O15" s="17">
        <f t="shared" si="4"/>
        <v>1.9132420948025941</v>
      </c>
    </row>
    <row r="16" spans="1:15" x14ac:dyDescent="0.2">
      <c r="A16" s="10" t="s">
        <v>65</v>
      </c>
      <c r="B16" s="14">
        <v>1</v>
      </c>
      <c r="C16" s="14">
        <v>1.77</v>
      </c>
      <c r="D16" s="14">
        <v>2220529.1396000003</v>
      </c>
      <c r="E16" s="14">
        <v>89</v>
      </c>
      <c r="F16" s="14">
        <v>28176</v>
      </c>
      <c r="G16">
        <v>1.77</v>
      </c>
      <c r="H16" s="12">
        <v>2220529.1396000003</v>
      </c>
      <c r="I16">
        <v>89</v>
      </c>
      <c r="J16">
        <v>28176</v>
      </c>
      <c r="K16" s="11">
        <f t="shared" si="0"/>
        <v>24949.765613483149</v>
      </c>
      <c r="L16" s="2" t="str">
        <f t="shared" si="1"/>
        <v/>
      </c>
      <c r="M16" s="12">
        <f t="shared" si="2"/>
        <v>2220529.1396000003</v>
      </c>
      <c r="N16" s="21">
        <f t="shared" si="3"/>
        <v>2507664</v>
      </c>
      <c r="O16" s="17">
        <f t="shared" si="4"/>
        <v>0.8854970760038029</v>
      </c>
    </row>
    <row r="17" spans="1:15" x14ac:dyDescent="0.2">
      <c r="A17" s="10" t="s">
        <v>70</v>
      </c>
      <c r="B17" s="14">
        <v>1</v>
      </c>
      <c r="C17" s="14">
        <v>6.07</v>
      </c>
      <c r="D17" s="14">
        <v>3886515.0424000002</v>
      </c>
      <c r="E17" s="14">
        <v>865</v>
      </c>
      <c r="F17" s="14">
        <v>28176</v>
      </c>
      <c r="G17">
        <v>6.07</v>
      </c>
      <c r="H17" s="12">
        <v>3886515.0424000002</v>
      </c>
      <c r="I17">
        <v>865</v>
      </c>
      <c r="J17">
        <v>28176</v>
      </c>
      <c r="K17" s="11">
        <f t="shared" si="0"/>
        <v>4493.0809738728321</v>
      </c>
      <c r="L17" s="2" t="str">
        <f t="shared" si="1"/>
        <v/>
      </c>
      <c r="M17" s="12">
        <f t="shared" si="2"/>
        <v>3886515.0424000002</v>
      </c>
      <c r="N17" s="21">
        <f t="shared" si="3"/>
        <v>24372240</v>
      </c>
      <c r="O17" s="17">
        <f t="shared" si="4"/>
        <v>0.15946482729531633</v>
      </c>
    </row>
    <row r="18" spans="1:15" x14ac:dyDescent="0.2">
      <c r="A18" s="10" t="s">
        <v>72</v>
      </c>
      <c r="B18" s="14">
        <v>1</v>
      </c>
      <c r="C18" s="14">
        <v>1.33</v>
      </c>
      <c r="D18" s="14">
        <v>2247977.0044</v>
      </c>
      <c r="E18" s="14">
        <v>356</v>
      </c>
      <c r="F18" s="14">
        <v>28176</v>
      </c>
      <c r="G18">
        <v>1.33</v>
      </c>
      <c r="H18" s="12">
        <v>2247977.0044</v>
      </c>
      <c r="I18">
        <v>356</v>
      </c>
      <c r="J18">
        <v>28176</v>
      </c>
      <c r="K18" s="11">
        <f t="shared" si="0"/>
        <v>6314.5421471910113</v>
      </c>
      <c r="L18" s="2" t="str">
        <f t="shared" si="1"/>
        <v/>
      </c>
      <c r="M18" s="12">
        <f t="shared" si="2"/>
        <v>2247977.0044</v>
      </c>
      <c r="N18" s="21">
        <f t="shared" si="3"/>
        <v>10030656</v>
      </c>
      <c r="O18" s="17">
        <f t="shared" si="4"/>
        <v>0.22411066677991948</v>
      </c>
    </row>
    <row r="19" spans="1:15" x14ac:dyDescent="0.2">
      <c r="A19" s="10" t="s">
        <v>84</v>
      </c>
      <c r="B19" s="14">
        <v>1</v>
      </c>
      <c r="C19" s="14">
        <v>3.48</v>
      </c>
      <c r="D19" s="14">
        <v>11244514.568400001</v>
      </c>
      <c r="E19" s="14">
        <v>2749</v>
      </c>
      <c r="F19" s="14">
        <v>4112</v>
      </c>
      <c r="G19">
        <v>3.48</v>
      </c>
      <c r="H19" s="12">
        <v>11244514.568400001</v>
      </c>
      <c r="I19">
        <v>2749</v>
      </c>
      <c r="J19">
        <v>4112</v>
      </c>
      <c r="K19" s="11">
        <f t="shared" si="0"/>
        <v>4090.401807348127</v>
      </c>
      <c r="L19" s="2" t="str">
        <f t="shared" si="1"/>
        <v/>
      </c>
      <c r="M19" s="12">
        <f t="shared" si="2"/>
        <v>11244514.568400001</v>
      </c>
      <c r="N19" s="21">
        <f t="shared" si="3"/>
        <v>11303888</v>
      </c>
      <c r="O19" s="17">
        <f t="shared" si="4"/>
        <v>0.99474752124224874</v>
      </c>
    </row>
    <row r="20" spans="1:15" x14ac:dyDescent="0.2">
      <c r="A20" s="10" t="s">
        <v>75</v>
      </c>
      <c r="B20" s="14">
        <v>1</v>
      </c>
      <c r="C20" s="14">
        <v>1.92</v>
      </c>
      <c r="D20" s="14">
        <v>4076097.0068000001</v>
      </c>
      <c r="E20" s="14">
        <v>756</v>
      </c>
      <c r="F20" s="14">
        <v>14052</v>
      </c>
      <c r="G20">
        <v>1.92</v>
      </c>
      <c r="H20" s="12">
        <v>4076097.0068000001</v>
      </c>
      <c r="I20">
        <v>756</v>
      </c>
      <c r="J20">
        <v>14052</v>
      </c>
      <c r="K20" s="11">
        <f t="shared" si="0"/>
        <v>5391.6627074074077</v>
      </c>
      <c r="L20" s="2" t="str">
        <f t="shared" si="1"/>
        <v/>
      </c>
      <c r="M20" s="12">
        <f t="shared" si="2"/>
        <v>4076097.0068000001</v>
      </c>
      <c r="N20" s="21">
        <f t="shared" si="3"/>
        <v>10623312</v>
      </c>
      <c r="O20" s="17">
        <f t="shared" si="4"/>
        <v>0.38369361709417932</v>
      </c>
    </row>
    <row r="21" spans="1:15" x14ac:dyDescent="0.2">
      <c r="A21" s="10" t="s">
        <v>87</v>
      </c>
      <c r="B21" s="14">
        <v>2</v>
      </c>
      <c r="C21" s="14">
        <v>9.1900000000000013</v>
      </c>
      <c r="D21" s="14">
        <v>21415117.8336</v>
      </c>
      <c r="E21" s="14">
        <v>62</v>
      </c>
      <c r="F21" s="14">
        <v>26626</v>
      </c>
      <c r="G21">
        <v>9.1900000000000013</v>
      </c>
      <c r="H21" s="12">
        <v>21415117.8336</v>
      </c>
      <c r="I21">
        <v>62</v>
      </c>
      <c r="J21">
        <v>26626</v>
      </c>
      <c r="K21" s="11">
        <f t="shared" si="0"/>
        <v>345405.1263483871</v>
      </c>
      <c r="L21" s="2" t="str">
        <f t="shared" si="1"/>
        <v>Y</v>
      </c>
      <c r="M21" s="12">
        <f t="shared" si="2"/>
        <v>3720000</v>
      </c>
      <c r="N21" s="21">
        <f t="shared" si="3"/>
        <v>1650812</v>
      </c>
      <c r="O21" s="17">
        <f t="shared" si="4"/>
        <v>12.972475262840348</v>
      </c>
    </row>
    <row r="22" spans="1:15" x14ac:dyDescent="0.2">
      <c r="A22" s="10" t="s">
        <v>104</v>
      </c>
      <c r="B22" s="14">
        <v>25</v>
      </c>
      <c r="C22" s="14">
        <v>57.92</v>
      </c>
      <c r="D22" s="14">
        <v>118345850.3932</v>
      </c>
      <c r="E22" s="14">
        <v>53</v>
      </c>
      <c r="F22" s="14">
        <v>724240</v>
      </c>
      <c r="G22">
        <v>57.92</v>
      </c>
      <c r="H22" s="12">
        <f>SUM(H4:H21)</f>
        <v>118345850.39319998</v>
      </c>
      <c r="I22">
        <f>SUM(I4:I21)</f>
        <v>10042</v>
      </c>
      <c r="J22" s="15"/>
      <c r="K22" s="11">
        <f t="shared" si="0"/>
        <v>11785.087671101372</v>
      </c>
      <c r="L22" s="2" t="str">
        <f t="shared" si="1"/>
        <v/>
      </c>
      <c r="M22" s="13">
        <f>SUM(M4:M21)</f>
        <v>97925276.503599986</v>
      </c>
      <c r="N22" s="21">
        <f>SUM(N4:N21)</f>
        <v>273549744</v>
      </c>
      <c r="O22" s="17">
        <f t="shared" si="4"/>
        <v>0.43263009009871339</v>
      </c>
    </row>
    <row r="24" spans="1:15" x14ac:dyDescent="0.2">
      <c r="M24" s="27">
        <f>(H22-M22)/H22</f>
        <v>0.1725499780664328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F202-BE1F-2C4C-8240-BB8270242D03}">
  <dimension ref="A1:O22"/>
  <sheetViews>
    <sheetView topLeftCell="B1" workbookViewId="0">
      <selection activeCell="P8" sqref="P8"/>
    </sheetView>
  </sheetViews>
  <sheetFormatPr baseColWidth="10" defaultRowHeight="15" x14ac:dyDescent="0.2"/>
  <cols>
    <col min="1" max="1" width="19.33203125" bestFit="1" customWidth="1"/>
    <col min="2" max="2" width="43" bestFit="1" customWidth="1"/>
    <col min="3" max="3" width="25.5" bestFit="1" customWidth="1"/>
    <col min="4" max="4" width="25" bestFit="1" customWidth="1"/>
    <col min="5" max="5" width="19" bestFit="1" customWidth="1"/>
    <col min="6" max="6" width="23.1640625" customWidth="1"/>
    <col min="7" max="7" width="10.83203125" customWidth="1"/>
    <col min="8" max="8" width="15.6640625" style="12" customWidth="1"/>
    <col min="9" max="10" width="13.33203125" customWidth="1"/>
    <col min="11" max="11" width="14.6640625" customWidth="1"/>
    <col min="12" max="12" width="14" customWidth="1"/>
    <col min="13" max="14" width="14.33203125" customWidth="1"/>
  </cols>
  <sheetData>
    <row r="1" spans="1:15" x14ac:dyDescent="0.2">
      <c r="A1" s="9" t="s">
        <v>9</v>
      </c>
      <c r="B1" t="s">
        <v>108</v>
      </c>
    </row>
    <row r="3" spans="1:15" ht="64" x14ac:dyDescent="0.2">
      <c r="A3" s="9" t="s">
        <v>103</v>
      </c>
      <c r="B3" t="s">
        <v>102</v>
      </c>
      <c r="C3" t="s">
        <v>105</v>
      </c>
      <c r="D3" t="s">
        <v>106</v>
      </c>
      <c r="E3" t="s">
        <v>107</v>
      </c>
      <c r="F3" t="s">
        <v>115</v>
      </c>
      <c r="G3" s="18" t="s">
        <v>111</v>
      </c>
      <c r="H3" s="20" t="s">
        <v>110</v>
      </c>
      <c r="I3" s="18" t="s">
        <v>112</v>
      </c>
      <c r="J3" s="18" t="s">
        <v>116</v>
      </c>
      <c r="K3" s="18" t="s">
        <v>109</v>
      </c>
      <c r="L3" s="16" t="s">
        <v>113</v>
      </c>
      <c r="M3" s="19" t="s">
        <v>114</v>
      </c>
      <c r="N3" s="19" t="s">
        <v>119</v>
      </c>
      <c r="O3" s="16" t="s">
        <v>118</v>
      </c>
    </row>
    <row r="4" spans="1:15" x14ac:dyDescent="0.2">
      <c r="A4" s="10" t="s">
        <v>28</v>
      </c>
      <c r="B4" s="14">
        <v>1</v>
      </c>
      <c r="C4" s="14">
        <v>2.46</v>
      </c>
      <c r="D4" s="14">
        <v>15249570.432399999</v>
      </c>
      <c r="E4" s="14">
        <v>1651</v>
      </c>
      <c r="F4" s="14">
        <v>23206</v>
      </c>
      <c r="G4">
        <v>2.46</v>
      </c>
      <c r="H4" s="12">
        <v>15249570.432399999</v>
      </c>
      <c r="I4">
        <v>1651</v>
      </c>
      <c r="J4">
        <v>23206</v>
      </c>
      <c r="K4" s="11">
        <f>H4/I4</f>
        <v>9236.565979648698</v>
      </c>
      <c r="L4" s="2" t="str">
        <f>IF(K4&gt;60000,"Y","")</f>
        <v/>
      </c>
      <c r="M4" s="12">
        <f>IF(L4="Y",60000*I4,H4)</f>
        <v>15249570.432399999</v>
      </c>
      <c r="N4" s="21">
        <f>I4*J4</f>
        <v>38313106</v>
      </c>
      <c r="O4" s="17">
        <f>H4/N4</f>
        <v>0.39802490647456251</v>
      </c>
    </row>
    <row r="5" spans="1:15" x14ac:dyDescent="0.2">
      <c r="A5" s="10" t="s">
        <v>34</v>
      </c>
      <c r="B5" s="14">
        <v>1</v>
      </c>
      <c r="C5" s="14">
        <v>1.2</v>
      </c>
      <c r="D5" s="14">
        <v>2839053.8111999994</v>
      </c>
      <c r="E5" s="14">
        <v>915</v>
      </c>
      <c r="F5" s="14">
        <v>23206</v>
      </c>
      <c r="G5">
        <v>1.2</v>
      </c>
      <c r="H5" s="12">
        <v>2839053.8111999994</v>
      </c>
      <c r="I5">
        <v>915</v>
      </c>
      <c r="J5">
        <v>23206</v>
      </c>
      <c r="K5" s="11">
        <f t="shared" ref="K5:K22" si="0">H5/I5</f>
        <v>3102.7910504918027</v>
      </c>
      <c r="L5" s="2" t="str">
        <f t="shared" ref="L5:L22" si="1">IF(K5&gt;60000,"Y","")</f>
        <v/>
      </c>
      <c r="M5" s="12">
        <f t="shared" ref="M5:M21" si="2">IF(L5="Y",60000*I5,H5)</f>
        <v>2839053.8111999994</v>
      </c>
      <c r="N5" s="21">
        <f t="shared" ref="N5:N21" si="3">I5*J5</f>
        <v>21233490</v>
      </c>
      <c r="O5" s="17">
        <f t="shared" ref="O5:O22" si="4">H5/N5</f>
        <v>0.13370641431060082</v>
      </c>
    </row>
    <row r="6" spans="1:15" x14ac:dyDescent="0.2">
      <c r="A6" s="10" t="s">
        <v>32</v>
      </c>
      <c r="B6" s="14">
        <v>1</v>
      </c>
      <c r="C6" s="14">
        <v>0.15</v>
      </c>
      <c r="D6" s="14">
        <v>507963.82400000002</v>
      </c>
      <c r="E6" s="14"/>
      <c r="F6" s="14">
        <v>23206</v>
      </c>
      <c r="G6">
        <v>0.15</v>
      </c>
      <c r="H6" s="12">
        <v>507963.82400000002</v>
      </c>
      <c r="J6">
        <v>23206</v>
      </c>
      <c r="K6" s="11" t="e">
        <f t="shared" si="0"/>
        <v>#DIV/0!</v>
      </c>
      <c r="L6" s="2"/>
      <c r="M6" s="12">
        <f t="shared" si="2"/>
        <v>507963.82400000002</v>
      </c>
      <c r="N6" s="21">
        <f t="shared" si="3"/>
        <v>0</v>
      </c>
      <c r="O6" s="17"/>
    </row>
    <row r="7" spans="1:15" x14ac:dyDescent="0.2">
      <c r="A7" s="10" t="s">
        <v>37</v>
      </c>
      <c r="B7" s="14">
        <v>3</v>
      </c>
      <c r="C7" s="14">
        <v>8.8000000000000007</v>
      </c>
      <c r="D7" s="14">
        <v>11025559.9824</v>
      </c>
      <c r="E7" s="14">
        <v>438</v>
      </c>
      <c r="F7" s="14">
        <v>111792</v>
      </c>
      <c r="G7">
        <v>8.8000000000000007</v>
      </c>
      <c r="H7" s="12">
        <v>11025559.9824</v>
      </c>
      <c r="I7">
        <v>438</v>
      </c>
      <c r="J7">
        <v>111792</v>
      </c>
      <c r="K7" s="11">
        <f t="shared" si="0"/>
        <v>25172.511375342467</v>
      </c>
      <c r="L7" s="2" t="str">
        <f t="shared" si="1"/>
        <v/>
      </c>
      <c r="M7" s="12">
        <f t="shared" si="2"/>
        <v>11025559.9824</v>
      </c>
      <c r="N7" s="21">
        <f t="shared" si="3"/>
        <v>48964896</v>
      </c>
      <c r="O7" s="17">
        <f t="shared" si="4"/>
        <v>0.22517274380405097</v>
      </c>
    </row>
    <row r="8" spans="1:15" x14ac:dyDescent="0.2">
      <c r="A8" s="10" t="s">
        <v>50</v>
      </c>
      <c r="B8" s="14">
        <v>1</v>
      </c>
      <c r="C8" s="14">
        <v>1.26</v>
      </c>
      <c r="D8" s="14">
        <v>1717945.82</v>
      </c>
      <c r="E8" s="14">
        <v>411</v>
      </c>
      <c r="F8" s="14">
        <v>37264</v>
      </c>
      <c r="G8">
        <v>1.26</v>
      </c>
      <c r="H8" s="12">
        <v>1717945.82</v>
      </c>
      <c r="I8">
        <v>411</v>
      </c>
      <c r="J8">
        <v>37264</v>
      </c>
      <c r="K8" s="11">
        <f t="shared" si="0"/>
        <v>4179.9168369829686</v>
      </c>
      <c r="L8" s="2" t="str">
        <f t="shared" si="1"/>
        <v/>
      </c>
      <c r="M8" s="12">
        <f t="shared" si="2"/>
        <v>1717945.82</v>
      </c>
      <c r="N8" s="21">
        <f t="shared" si="3"/>
        <v>15315504</v>
      </c>
      <c r="O8" s="17">
        <f t="shared" si="4"/>
        <v>0.11217037454333857</v>
      </c>
    </row>
    <row r="9" spans="1:15" x14ac:dyDescent="0.2">
      <c r="A9" s="10" t="s">
        <v>54</v>
      </c>
      <c r="B9" s="14">
        <v>3</v>
      </c>
      <c r="C9" s="14">
        <v>5.53</v>
      </c>
      <c r="D9" s="14">
        <v>10586922.5788</v>
      </c>
      <c r="E9" s="14">
        <v>260</v>
      </c>
      <c r="F9" s="14">
        <v>111792</v>
      </c>
      <c r="G9">
        <v>5.53</v>
      </c>
      <c r="H9" s="12">
        <v>10586922.5788</v>
      </c>
      <c r="I9">
        <v>260</v>
      </c>
      <c r="J9">
        <v>111792</v>
      </c>
      <c r="K9" s="11">
        <f t="shared" si="0"/>
        <v>40718.932995384617</v>
      </c>
      <c r="L9" s="2" t="str">
        <f t="shared" si="1"/>
        <v/>
      </c>
      <c r="M9" s="12">
        <f t="shared" si="2"/>
        <v>10586922.5788</v>
      </c>
      <c r="N9" s="21">
        <f t="shared" si="3"/>
        <v>29065920</v>
      </c>
      <c r="O9" s="17">
        <f t="shared" si="4"/>
        <v>0.36423834438407593</v>
      </c>
    </row>
    <row r="10" spans="1:15" x14ac:dyDescent="0.2">
      <c r="A10" s="10" t="s">
        <v>52</v>
      </c>
      <c r="B10" s="14">
        <v>1</v>
      </c>
      <c r="C10" s="14">
        <v>1</v>
      </c>
      <c r="D10" s="14">
        <v>1860248.1892000001</v>
      </c>
      <c r="E10" s="14">
        <v>53</v>
      </c>
      <c r="F10" s="14">
        <v>37264</v>
      </c>
      <c r="G10">
        <v>1</v>
      </c>
      <c r="H10" s="12">
        <v>1860248.1892000001</v>
      </c>
      <c r="I10">
        <v>53</v>
      </c>
      <c r="J10">
        <v>37264</v>
      </c>
      <c r="K10" s="11">
        <f t="shared" si="0"/>
        <v>35099.022437735854</v>
      </c>
      <c r="L10" s="2" t="str">
        <f t="shared" si="1"/>
        <v/>
      </c>
      <c r="M10" s="12">
        <f t="shared" si="2"/>
        <v>1860248.1892000001</v>
      </c>
      <c r="N10" s="21">
        <f t="shared" si="3"/>
        <v>1974992</v>
      </c>
      <c r="O10" s="17">
        <f t="shared" si="4"/>
        <v>0.94190163261420812</v>
      </c>
    </row>
    <row r="11" spans="1:15" x14ac:dyDescent="0.2">
      <c r="A11" s="10" t="s">
        <v>48</v>
      </c>
      <c r="B11" s="14">
        <v>1</v>
      </c>
      <c r="C11" s="14">
        <v>1.34</v>
      </c>
      <c r="D11" s="14">
        <v>2472650.9432000001</v>
      </c>
      <c r="E11" s="14">
        <v>287</v>
      </c>
      <c r="F11" s="14">
        <v>37264</v>
      </c>
      <c r="G11">
        <v>1.34</v>
      </c>
      <c r="H11" s="12">
        <v>2472650.9432000001</v>
      </c>
      <c r="I11">
        <v>287</v>
      </c>
      <c r="J11">
        <v>37264</v>
      </c>
      <c r="K11" s="11">
        <f t="shared" si="0"/>
        <v>8615.5085128919873</v>
      </c>
      <c r="L11" s="2" t="str">
        <f t="shared" si="1"/>
        <v/>
      </c>
      <c r="M11" s="12">
        <f t="shared" si="2"/>
        <v>2472650.9432000001</v>
      </c>
      <c r="N11" s="21">
        <f t="shared" si="3"/>
        <v>10694768</v>
      </c>
      <c r="O11" s="17">
        <f t="shared" si="4"/>
        <v>0.23120192445502324</v>
      </c>
    </row>
    <row r="12" spans="1:15" x14ac:dyDescent="0.2">
      <c r="A12" s="10" t="s">
        <v>46</v>
      </c>
      <c r="B12" s="14">
        <v>1</v>
      </c>
      <c r="C12" s="14">
        <v>2.65</v>
      </c>
      <c r="D12" s="14">
        <v>4936066.9344000006</v>
      </c>
      <c r="E12" s="14">
        <v>488</v>
      </c>
      <c r="F12" s="14">
        <v>37264</v>
      </c>
      <c r="G12">
        <v>2.65</v>
      </c>
      <c r="H12" s="12">
        <v>4936066.9344000006</v>
      </c>
      <c r="I12">
        <v>488</v>
      </c>
      <c r="J12">
        <v>37264</v>
      </c>
      <c r="K12" s="11">
        <f t="shared" si="0"/>
        <v>10114.891259016395</v>
      </c>
      <c r="L12" s="2" t="str">
        <f t="shared" si="1"/>
        <v/>
      </c>
      <c r="M12" s="12">
        <f t="shared" si="2"/>
        <v>4936066.9344000006</v>
      </c>
      <c r="N12" s="21">
        <f t="shared" si="3"/>
        <v>18184832</v>
      </c>
      <c r="O12" s="17">
        <f t="shared" si="4"/>
        <v>0.27143868771512436</v>
      </c>
    </row>
    <row r="13" spans="1:15" x14ac:dyDescent="0.2">
      <c r="A13" s="10" t="s">
        <v>39</v>
      </c>
      <c r="B13" s="14">
        <v>2</v>
      </c>
      <c r="C13" s="14">
        <v>3.72</v>
      </c>
      <c r="D13" s="14">
        <v>8706723.9428000003</v>
      </c>
      <c r="E13" s="14">
        <v>245</v>
      </c>
      <c r="F13" s="14">
        <v>74528</v>
      </c>
      <c r="G13">
        <v>3.72</v>
      </c>
      <c r="H13" s="12">
        <v>8706723.9428000003</v>
      </c>
      <c r="I13">
        <v>245</v>
      </c>
      <c r="J13">
        <v>74528</v>
      </c>
      <c r="K13" s="11">
        <f t="shared" si="0"/>
        <v>35537.648746122453</v>
      </c>
      <c r="L13" s="2" t="str">
        <f t="shared" si="1"/>
        <v/>
      </c>
      <c r="M13" s="12">
        <f t="shared" si="2"/>
        <v>8706723.9428000003</v>
      </c>
      <c r="N13" s="21">
        <f t="shared" si="3"/>
        <v>18259360</v>
      </c>
      <c r="O13" s="17">
        <f t="shared" si="4"/>
        <v>0.47683620580348929</v>
      </c>
    </row>
    <row r="14" spans="1:15" x14ac:dyDescent="0.2">
      <c r="A14" s="10" t="s">
        <v>59</v>
      </c>
      <c r="B14" s="14">
        <v>1</v>
      </c>
      <c r="C14" s="14">
        <v>1.58</v>
      </c>
      <c r="D14" s="14">
        <v>7206937.2836000007</v>
      </c>
      <c r="E14" s="14">
        <v>360</v>
      </c>
      <c r="F14" s="14">
        <v>21784</v>
      </c>
      <c r="G14">
        <v>1.58</v>
      </c>
      <c r="H14" s="12">
        <v>7206937.2836000007</v>
      </c>
      <c r="I14">
        <v>360</v>
      </c>
      <c r="J14">
        <v>21784</v>
      </c>
      <c r="K14" s="11">
        <f t="shared" si="0"/>
        <v>20019.270232222225</v>
      </c>
      <c r="L14" s="2" t="str">
        <f t="shared" si="1"/>
        <v/>
      </c>
      <c r="M14" s="12">
        <f t="shared" si="2"/>
        <v>7206937.2836000007</v>
      </c>
      <c r="N14" s="21">
        <f t="shared" si="3"/>
        <v>7842240</v>
      </c>
      <c r="O14" s="17">
        <f t="shared" si="4"/>
        <v>0.91898963607336692</v>
      </c>
    </row>
    <row r="15" spans="1:15" x14ac:dyDescent="0.2">
      <c r="A15" s="10" t="s">
        <v>67</v>
      </c>
      <c r="B15" s="14">
        <v>2</v>
      </c>
      <c r="C15" s="14">
        <v>4.47</v>
      </c>
      <c r="D15" s="14">
        <v>6145456.0559999999</v>
      </c>
      <c r="E15" s="14">
        <v>57</v>
      </c>
      <c r="F15" s="14">
        <v>56352</v>
      </c>
      <c r="G15">
        <v>4.47</v>
      </c>
      <c r="H15" s="12">
        <v>6145456.0559999999</v>
      </c>
      <c r="I15">
        <v>57</v>
      </c>
      <c r="J15">
        <v>56352</v>
      </c>
      <c r="K15" s="11">
        <f t="shared" si="0"/>
        <v>107815.01852631579</v>
      </c>
      <c r="L15" s="2" t="str">
        <f t="shared" si="1"/>
        <v>Y</v>
      </c>
      <c r="M15" s="12">
        <f t="shared" si="2"/>
        <v>3420000</v>
      </c>
      <c r="N15" s="21">
        <f t="shared" si="3"/>
        <v>3212064</v>
      </c>
      <c r="O15" s="17">
        <f t="shared" si="4"/>
        <v>1.9132420948025941</v>
      </c>
    </row>
    <row r="16" spans="1:15" x14ac:dyDescent="0.2">
      <c r="A16" s="10" t="s">
        <v>65</v>
      </c>
      <c r="B16" s="14">
        <v>1</v>
      </c>
      <c r="C16" s="14">
        <v>1.77</v>
      </c>
      <c r="D16" s="14">
        <v>2220529.1396000003</v>
      </c>
      <c r="E16" s="14">
        <v>89</v>
      </c>
      <c r="F16" s="14">
        <v>28176</v>
      </c>
      <c r="G16">
        <v>1.77</v>
      </c>
      <c r="H16" s="12">
        <v>2220529.1396000003</v>
      </c>
      <c r="I16">
        <v>89</v>
      </c>
      <c r="J16">
        <v>28176</v>
      </c>
      <c r="K16" s="11">
        <f t="shared" si="0"/>
        <v>24949.765613483149</v>
      </c>
      <c r="L16" s="2" t="str">
        <f t="shared" si="1"/>
        <v/>
      </c>
      <c r="M16" s="12">
        <f t="shared" si="2"/>
        <v>2220529.1396000003</v>
      </c>
      <c r="N16" s="21">
        <f t="shared" si="3"/>
        <v>2507664</v>
      </c>
      <c r="O16" s="17">
        <f t="shared" si="4"/>
        <v>0.8854970760038029</v>
      </c>
    </row>
    <row r="17" spans="1:15" x14ac:dyDescent="0.2">
      <c r="A17" s="10" t="s">
        <v>70</v>
      </c>
      <c r="B17" s="14">
        <v>1</v>
      </c>
      <c r="C17" s="14">
        <v>6.07</v>
      </c>
      <c r="D17" s="14">
        <v>3886515.0424000002</v>
      </c>
      <c r="E17" s="14">
        <v>865</v>
      </c>
      <c r="F17" s="14">
        <v>28176</v>
      </c>
      <c r="G17">
        <v>6.07</v>
      </c>
      <c r="H17" s="12">
        <v>3886515.0424000002</v>
      </c>
      <c r="I17">
        <v>865</v>
      </c>
      <c r="J17">
        <v>28176</v>
      </c>
      <c r="K17" s="11">
        <f t="shared" si="0"/>
        <v>4493.0809738728321</v>
      </c>
      <c r="L17" s="2" t="str">
        <f t="shared" si="1"/>
        <v/>
      </c>
      <c r="M17" s="12">
        <f t="shared" si="2"/>
        <v>3886515.0424000002</v>
      </c>
      <c r="N17" s="21">
        <f t="shared" si="3"/>
        <v>24372240</v>
      </c>
      <c r="O17" s="17">
        <f t="shared" si="4"/>
        <v>0.15946482729531633</v>
      </c>
    </row>
    <row r="18" spans="1:15" x14ac:dyDescent="0.2">
      <c r="A18" s="10" t="s">
        <v>72</v>
      </c>
      <c r="B18" s="14">
        <v>1</v>
      </c>
      <c r="C18" s="14">
        <v>1.33</v>
      </c>
      <c r="D18" s="14">
        <v>2247977.0044</v>
      </c>
      <c r="E18" s="14">
        <v>356</v>
      </c>
      <c r="F18" s="14">
        <v>28176</v>
      </c>
      <c r="G18">
        <v>1.33</v>
      </c>
      <c r="H18" s="12">
        <v>2247977.0044</v>
      </c>
      <c r="I18">
        <v>356</v>
      </c>
      <c r="J18">
        <v>28176</v>
      </c>
      <c r="K18" s="11">
        <f t="shared" si="0"/>
        <v>6314.5421471910113</v>
      </c>
      <c r="L18" s="2" t="str">
        <f t="shared" si="1"/>
        <v/>
      </c>
      <c r="M18" s="12">
        <f t="shared" si="2"/>
        <v>2247977.0044</v>
      </c>
      <c r="N18" s="21">
        <f t="shared" si="3"/>
        <v>10030656</v>
      </c>
      <c r="O18" s="17">
        <f t="shared" si="4"/>
        <v>0.22411066677991948</v>
      </c>
    </row>
    <row r="19" spans="1:15" x14ac:dyDescent="0.2">
      <c r="A19" s="10" t="s">
        <v>84</v>
      </c>
      <c r="B19" s="14">
        <v>1</v>
      </c>
      <c r="C19" s="14">
        <v>3.48</v>
      </c>
      <c r="D19" s="14">
        <v>11244514.568400001</v>
      </c>
      <c r="E19" s="14">
        <v>2749</v>
      </c>
      <c r="F19" s="14">
        <v>4112</v>
      </c>
      <c r="G19">
        <v>3.48</v>
      </c>
      <c r="H19" s="12">
        <v>11244514.568400001</v>
      </c>
      <c r="I19">
        <v>2749</v>
      </c>
      <c r="J19">
        <v>4112</v>
      </c>
      <c r="K19" s="11">
        <f t="shared" si="0"/>
        <v>4090.401807348127</v>
      </c>
      <c r="L19" s="2" t="str">
        <f t="shared" si="1"/>
        <v/>
      </c>
      <c r="M19" s="12">
        <f t="shared" si="2"/>
        <v>11244514.568400001</v>
      </c>
      <c r="N19" s="21">
        <f t="shared" si="3"/>
        <v>11303888</v>
      </c>
      <c r="O19" s="17">
        <f t="shared" si="4"/>
        <v>0.99474752124224874</v>
      </c>
    </row>
    <row r="20" spans="1:15" x14ac:dyDescent="0.2">
      <c r="A20" s="10" t="s">
        <v>75</v>
      </c>
      <c r="B20" s="14">
        <v>1</v>
      </c>
      <c r="C20" s="14">
        <v>1.92</v>
      </c>
      <c r="D20" s="14">
        <v>4076097.0068000001</v>
      </c>
      <c r="E20" s="14">
        <v>756</v>
      </c>
      <c r="F20" s="14">
        <v>14052</v>
      </c>
      <c r="G20">
        <v>1.92</v>
      </c>
      <c r="H20" s="12">
        <v>4076097.0068000001</v>
      </c>
      <c r="I20">
        <v>756</v>
      </c>
      <c r="J20">
        <v>14052</v>
      </c>
      <c r="K20" s="11">
        <f t="shared" si="0"/>
        <v>5391.6627074074077</v>
      </c>
      <c r="L20" s="2" t="str">
        <f t="shared" si="1"/>
        <v/>
      </c>
      <c r="M20" s="12">
        <f t="shared" si="2"/>
        <v>4076097.0068000001</v>
      </c>
      <c r="N20" s="21">
        <f t="shared" si="3"/>
        <v>10623312</v>
      </c>
      <c r="O20" s="17">
        <f t="shared" si="4"/>
        <v>0.38369361709417932</v>
      </c>
    </row>
    <row r="21" spans="1:15" x14ac:dyDescent="0.2">
      <c r="A21" s="10" t="s">
        <v>87</v>
      </c>
      <c r="B21" s="14">
        <v>2</v>
      </c>
      <c r="C21" s="14">
        <v>9.1900000000000013</v>
      </c>
      <c r="D21" s="14">
        <v>21415117.8336</v>
      </c>
      <c r="E21" s="14">
        <v>62</v>
      </c>
      <c r="F21" s="14">
        <v>26626</v>
      </c>
      <c r="G21">
        <v>9.1900000000000013</v>
      </c>
      <c r="H21" s="12">
        <v>21415117.8336</v>
      </c>
      <c r="I21">
        <v>62</v>
      </c>
      <c r="J21">
        <v>26626</v>
      </c>
      <c r="K21" s="11">
        <f t="shared" si="0"/>
        <v>345405.1263483871</v>
      </c>
      <c r="L21" s="2" t="str">
        <f t="shared" si="1"/>
        <v>Y</v>
      </c>
      <c r="M21" s="12">
        <f t="shared" si="2"/>
        <v>3720000</v>
      </c>
      <c r="N21" s="21">
        <f t="shared" si="3"/>
        <v>1650812</v>
      </c>
      <c r="O21" s="17">
        <f t="shared" si="4"/>
        <v>12.972475262840348</v>
      </c>
    </row>
    <row r="22" spans="1:15" x14ac:dyDescent="0.2">
      <c r="A22" s="10" t="s">
        <v>104</v>
      </c>
      <c r="B22" s="14">
        <v>25</v>
      </c>
      <c r="C22" s="14">
        <v>57.92</v>
      </c>
      <c r="D22" s="14">
        <v>118345850.3932</v>
      </c>
      <c r="E22" s="14">
        <v>53</v>
      </c>
      <c r="F22" s="14">
        <v>724240</v>
      </c>
      <c r="G22">
        <v>57.92</v>
      </c>
      <c r="H22" s="12">
        <f>SUM(H4:H21)</f>
        <v>118345850.39319998</v>
      </c>
      <c r="I22">
        <f>SUM(I4:I21)</f>
        <v>10042</v>
      </c>
      <c r="J22" s="15">
        <v>724240</v>
      </c>
      <c r="K22" s="11">
        <f t="shared" si="0"/>
        <v>11785.087671101372</v>
      </c>
      <c r="L22" s="2" t="str">
        <f t="shared" si="1"/>
        <v/>
      </c>
      <c r="M22" s="13">
        <f>SUM(M4:M21)</f>
        <v>97925276.503599986</v>
      </c>
      <c r="N22" s="21">
        <f>SUM(N4:N21)</f>
        <v>273549744</v>
      </c>
      <c r="O22" s="17">
        <f t="shared" si="4"/>
        <v>0.43263009009871339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6583-A1D7-4F84-8344-7179825B52DE}">
  <dimension ref="A1:S48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4" sqref="S4"/>
    </sheetView>
  </sheetViews>
  <sheetFormatPr baseColWidth="10" defaultColWidth="8.83203125" defaultRowHeight="15" x14ac:dyDescent="0.2"/>
  <cols>
    <col min="1" max="1" width="22.5" bestFit="1" customWidth="1"/>
    <col min="2" max="2" width="14.1640625" customWidth="1"/>
    <col min="3" max="3" width="23.1640625" customWidth="1"/>
    <col min="4" max="4" width="23" customWidth="1"/>
    <col min="5" max="5" width="12.5" customWidth="1"/>
    <col min="6" max="6" width="15.5" customWidth="1"/>
    <col min="7" max="7" width="20.83203125" customWidth="1"/>
    <col min="8" max="8" width="19" customWidth="1"/>
    <col min="9" max="9" width="18.5" customWidth="1"/>
    <col min="10" max="10" width="14.33203125" customWidth="1"/>
    <col min="11" max="11" width="24.5" customWidth="1"/>
    <col min="12" max="12" width="20.5" customWidth="1"/>
    <col min="13" max="13" width="10.1640625" customWidth="1"/>
    <col min="14" max="14" width="12.1640625" customWidth="1"/>
    <col min="15" max="15" width="13.5" customWidth="1"/>
    <col min="16" max="17" width="13.83203125" customWidth="1"/>
    <col min="18" max="18" width="14.5" customWidth="1"/>
    <col min="19" max="19" width="34.1640625" bestFit="1" customWidth="1"/>
  </cols>
  <sheetData>
    <row r="1" spans="1:19" ht="34.5" customHeight="1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</row>
    <row r="2" spans="1:19" x14ac:dyDescent="0.2">
      <c r="A2" t="s">
        <v>19</v>
      </c>
      <c r="B2" t="s">
        <v>20</v>
      </c>
      <c r="C2" s="2" t="s">
        <v>21</v>
      </c>
      <c r="D2" s="2" t="s">
        <v>22</v>
      </c>
      <c r="E2" s="2" t="s">
        <v>23</v>
      </c>
      <c r="F2" s="3">
        <v>44371</v>
      </c>
      <c r="G2" s="3">
        <v>44974</v>
      </c>
      <c r="H2" s="4">
        <v>9.4403000000000006</v>
      </c>
      <c r="I2" s="4">
        <v>1.73</v>
      </c>
      <c r="J2" s="4" t="s">
        <v>24</v>
      </c>
      <c r="K2" s="6" t="s">
        <v>24</v>
      </c>
      <c r="L2" s="2" t="s">
        <v>24</v>
      </c>
      <c r="M2" s="2" t="s">
        <v>21</v>
      </c>
      <c r="N2" s="2" t="s">
        <v>25</v>
      </c>
      <c r="O2" s="2" t="s">
        <v>21</v>
      </c>
      <c r="P2" s="2" t="s">
        <v>21</v>
      </c>
      <c r="Q2" s="2" t="s">
        <v>21</v>
      </c>
      <c r="R2">
        <v>62</v>
      </c>
      <c r="S2" s="7">
        <v>21077</v>
      </c>
    </row>
    <row r="3" spans="1:19" x14ac:dyDescent="0.2">
      <c r="A3" t="s">
        <v>26</v>
      </c>
      <c r="B3" t="s">
        <v>27</v>
      </c>
      <c r="C3" s="2" t="s">
        <v>21</v>
      </c>
      <c r="D3" s="2" t="s">
        <v>28</v>
      </c>
      <c r="E3" s="2" t="s">
        <v>23</v>
      </c>
      <c r="F3" s="3">
        <v>43920</v>
      </c>
      <c r="G3" s="3">
        <v>45190</v>
      </c>
      <c r="H3" s="4">
        <v>0</v>
      </c>
      <c r="I3" s="4">
        <v>3.13</v>
      </c>
      <c r="J3" s="4">
        <v>2.46</v>
      </c>
      <c r="K3" s="6">
        <f>13439640.17+(300000*Table1[[#This Row],[(i) Total Cable Miles Installed - 5]])+(241192.23*Table1[[#This Row],[(i) Total Cable Miles Installed - 5]])+(37060.25*Table1[[#This Row],[(i) Total Cable Miles Installed - 5]])</f>
        <v>15249570.432399999</v>
      </c>
      <c r="L3" s="2" t="s">
        <v>24</v>
      </c>
      <c r="M3" s="2" t="s">
        <v>21</v>
      </c>
      <c r="N3" s="2" t="s">
        <v>25</v>
      </c>
      <c r="O3" s="2" t="s">
        <v>21</v>
      </c>
      <c r="P3" s="2" t="s">
        <v>21</v>
      </c>
      <c r="Q3" s="2" t="s">
        <v>21</v>
      </c>
      <c r="R3">
        <v>1651</v>
      </c>
      <c r="S3" s="7">
        <v>23206</v>
      </c>
    </row>
    <row r="4" spans="1:19" x14ac:dyDescent="0.2">
      <c r="A4" t="s">
        <v>29</v>
      </c>
      <c r="B4" t="s">
        <v>27</v>
      </c>
      <c r="C4" s="2" t="s">
        <v>21</v>
      </c>
      <c r="D4" s="2" t="s">
        <v>30</v>
      </c>
      <c r="E4" s="2" t="s">
        <v>23</v>
      </c>
      <c r="F4" s="3">
        <v>44489</v>
      </c>
      <c r="G4" s="3">
        <v>45126</v>
      </c>
      <c r="H4" s="4">
        <v>0.39660000000000001</v>
      </c>
      <c r="I4" s="4">
        <v>0.94</v>
      </c>
      <c r="J4" s="4" t="s">
        <v>24</v>
      </c>
      <c r="K4" s="6" t="s">
        <v>24</v>
      </c>
      <c r="L4" s="2" t="s">
        <v>24</v>
      </c>
      <c r="M4" s="2" t="s">
        <v>21</v>
      </c>
      <c r="N4" s="2" t="s">
        <v>25</v>
      </c>
      <c r="O4" s="2" t="s">
        <v>21</v>
      </c>
      <c r="P4" s="2" t="s">
        <v>21</v>
      </c>
      <c r="Q4" s="2" t="s">
        <v>21</v>
      </c>
      <c r="R4">
        <v>296</v>
      </c>
      <c r="S4" s="7">
        <v>23206</v>
      </c>
    </row>
    <row r="5" spans="1:19" x14ac:dyDescent="0.2">
      <c r="A5" t="s">
        <v>31</v>
      </c>
      <c r="B5" t="s">
        <v>27</v>
      </c>
      <c r="C5" s="2" t="s">
        <v>21</v>
      </c>
      <c r="D5" s="2" t="s">
        <v>32</v>
      </c>
      <c r="E5" s="2" t="s">
        <v>23</v>
      </c>
      <c r="F5" s="3">
        <v>44635</v>
      </c>
      <c r="G5" s="3">
        <v>45189</v>
      </c>
      <c r="H5" s="4">
        <v>0.1116</v>
      </c>
      <c r="I5" s="4">
        <v>0.3</v>
      </c>
      <c r="J5" s="4">
        <v>0.15</v>
      </c>
      <c r="K5" s="6">
        <f>334488.08+(300000*Table1[[#This Row],[(i) Total Cable Miles Installed - 5]])+(241192.23*Table1[[#This Row],[(i) Total Cable Miles Installed - 5]])+(37060.25*Table1[[#This Row],[(i) Total Cable Miles Installed - 5]])</f>
        <v>507963.82400000002</v>
      </c>
      <c r="L5" s="2" t="s">
        <v>24</v>
      </c>
      <c r="M5" s="2" t="s">
        <v>21</v>
      </c>
      <c r="N5" s="2" t="s">
        <v>25</v>
      </c>
      <c r="O5" s="2" t="s">
        <v>21</v>
      </c>
      <c r="P5" s="2" t="s">
        <v>21</v>
      </c>
      <c r="Q5" s="2" t="s">
        <v>21</v>
      </c>
      <c r="S5" s="7">
        <v>23206</v>
      </c>
    </row>
    <row r="6" spans="1:19" x14ac:dyDescent="0.2">
      <c r="A6" t="s">
        <v>33</v>
      </c>
      <c r="B6" t="s">
        <v>27</v>
      </c>
      <c r="C6" s="2" t="s">
        <v>21</v>
      </c>
      <c r="D6" s="2" t="s">
        <v>34</v>
      </c>
      <c r="E6" s="2" t="s">
        <v>23</v>
      </c>
      <c r="F6" s="3">
        <v>44489</v>
      </c>
      <c r="G6" s="3">
        <v>45236</v>
      </c>
      <c r="H6" s="4" t="s">
        <v>24</v>
      </c>
      <c r="I6" s="4">
        <v>1.19</v>
      </c>
      <c r="J6" s="4">
        <v>1.2</v>
      </c>
      <c r="K6" s="6">
        <f>2150933.36+(300000*Table1[[#This Row],[(i) Total Cable Miles Installed - 5]])+(241192.23*Table1[[#This Row],[(i) Total Cable Miles Installed - 5]])+(37060.25*Table1[[#This Row],[(i) Total Cable Miles Installed - 5]])</f>
        <v>2839053.8111999994</v>
      </c>
      <c r="L6" s="2" t="s">
        <v>24</v>
      </c>
      <c r="M6" s="2" t="s">
        <v>21</v>
      </c>
      <c r="N6" s="2" t="s">
        <v>25</v>
      </c>
      <c r="O6" s="2" t="s">
        <v>21</v>
      </c>
      <c r="P6" s="2" t="s">
        <v>21</v>
      </c>
      <c r="Q6" s="2" t="s">
        <v>21</v>
      </c>
      <c r="R6">
        <v>915</v>
      </c>
      <c r="S6" s="7">
        <v>23206</v>
      </c>
    </row>
    <row r="7" spans="1:19" x14ac:dyDescent="0.2">
      <c r="A7" t="s">
        <v>35</v>
      </c>
      <c r="B7" t="s">
        <v>36</v>
      </c>
      <c r="C7" s="2" t="s">
        <v>21</v>
      </c>
      <c r="D7" s="2" t="s">
        <v>37</v>
      </c>
      <c r="E7" s="2" t="s">
        <v>23</v>
      </c>
      <c r="F7" s="3">
        <v>43920</v>
      </c>
      <c r="G7" s="3">
        <v>45190</v>
      </c>
      <c r="H7" s="4">
        <v>0</v>
      </c>
      <c r="I7" s="4">
        <v>2.91</v>
      </c>
      <c r="J7" s="4">
        <v>2.46</v>
      </c>
      <c r="K7" s="6">
        <f>(300000*Table1[[#This Row],[(i) Total Cable Miles Installed - 5]])+(241192.23*Table1[[#This Row],[(i) Total Cable Miles Installed - 5]])+(37060.25*Table1[[#This Row],[(i) Total Cable Miles Installed - 5]])</f>
        <v>1682714.7167999998</v>
      </c>
      <c r="L7" s="2" t="s">
        <v>24</v>
      </c>
      <c r="M7" s="2" t="s">
        <v>21</v>
      </c>
      <c r="N7" s="2" t="s">
        <v>25</v>
      </c>
      <c r="O7" s="2" t="s">
        <v>21</v>
      </c>
      <c r="P7" s="2" t="s">
        <v>21</v>
      </c>
      <c r="Q7" s="2" t="s">
        <v>21</v>
      </c>
      <c r="R7">
        <v>438</v>
      </c>
      <c r="S7" s="7">
        <v>37264</v>
      </c>
    </row>
    <row r="8" spans="1:19" x14ac:dyDescent="0.2">
      <c r="A8" t="s">
        <v>38</v>
      </c>
      <c r="B8" t="s">
        <v>36</v>
      </c>
      <c r="C8" s="2" t="s">
        <v>21</v>
      </c>
      <c r="D8" s="2" t="s">
        <v>39</v>
      </c>
      <c r="E8" s="2" t="s">
        <v>23</v>
      </c>
      <c r="F8" s="3">
        <v>44649</v>
      </c>
      <c r="G8" s="3">
        <v>45272</v>
      </c>
      <c r="H8" s="4">
        <v>0</v>
      </c>
      <c r="I8" s="4">
        <v>2.42</v>
      </c>
      <c r="J8" s="4">
        <v>1.48</v>
      </c>
      <c r="K8" s="6">
        <f>2016217.18+(300000*Table1[[#This Row],[(i) Total Cable Miles Installed - 5]])+(241192.23*Table1[[#This Row],[(i) Total Cable Miles Installed - 5]])+(37060.25*Table1[[#This Row],[(i) Total Cable Miles Installed - 5]])</f>
        <v>3415588.1815999998</v>
      </c>
      <c r="L8" s="2" t="s">
        <v>24</v>
      </c>
      <c r="M8" s="2" t="s">
        <v>21</v>
      </c>
      <c r="N8" s="2" t="s">
        <v>25</v>
      </c>
      <c r="O8" s="2" t="s">
        <v>21</v>
      </c>
      <c r="P8" s="2" t="s">
        <v>21</v>
      </c>
      <c r="Q8" s="2" t="s">
        <v>21</v>
      </c>
      <c r="R8">
        <v>245</v>
      </c>
      <c r="S8" s="7">
        <v>37264</v>
      </c>
    </row>
    <row r="9" spans="1:19" x14ac:dyDescent="0.2">
      <c r="A9" t="s">
        <v>40</v>
      </c>
      <c r="B9" t="s">
        <v>36</v>
      </c>
      <c r="C9" s="2" t="s">
        <v>21</v>
      </c>
      <c r="D9" s="2" t="s">
        <v>39</v>
      </c>
      <c r="E9" s="2" t="s">
        <v>23</v>
      </c>
      <c r="F9" s="3">
        <v>44649</v>
      </c>
      <c r="G9" s="3">
        <v>45273</v>
      </c>
      <c r="H9" s="4">
        <v>0</v>
      </c>
      <c r="I9" s="4">
        <v>2.94</v>
      </c>
      <c r="J9" s="4">
        <v>2.2400000000000002</v>
      </c>
      <c r="K9" s="6">
        <f>3591073.47+(300000*Table1[[#This Row],[(i) Total Cable Miles Installed - 5]])+(241192.23*Table1[[#This Row],[(i) Total Cable Miles Installed - 5]])+(37060.25*Table1[[#This Row],[(i) Total Cable Miles Installed - 5]])</f>
        <v>5291135.7612000005</v>
      </c>
      <c r="L9" s="2" t="s">
        <v>24</v>
      </c>
      <c r="M9" s="2" t="s">
        <v>21</v>
      </c>
      <c r="N9" s="2" t="s">
        <v>25</v>
      </c>
      <c r="O9" s="2" t="s">
        <v>21</v>
      </c>
      <c r="P9" s="2" t="s">
        <v>21</v>
      </c>
      <c r="Q9" s="2" t="s">
        <v>21</v>
      </c>
      <c r="R9">
        <v>245</v>
      </c>
      <c r="S9" s="7">
        <v>37264</v>
      </c>
    </row>
    <row r="10" spans="1:19" x14ac:dyDescent="0.2">
      <c r="A10" t="s">
        <v>41</v>
      </c>
      <c r="B10" t="s">
        <v>36</v>
      </c>
      <c r="C10" s="2" t="s">
        <v>21</v>
      </c>
      <c r="D10" s="2" t="s">
        <v>42</v>
      </c>
      <c r="E10" s="2" t="s">
        <v>23</v>
      </c>
      <c r="F10" s="3">
        <v>44635</v>
      </c>
      <c r="G10" s="3">
        <v>45190</v>
      </c>
      <c r="H10" s="4" t="s">
        <v>24</v>
      </c>
      <c r="I10" s="4">
        <v>0.14000000000000001</v>
      </c>
      <c r="J10" s="4">
        <v>0.01</v>
      </c>
      <c r="K10" s="6">
        <f>498695.41+(300000*Table1[[#This Row],[(i) Total Cable Miles Installed - 5]])+(241192.23*Table1[[#This Row],[(i) Total Cable Miles Installed - 5]])+(37060.25*Table1[[#This Row],[(i) Total Cable Miles Installed - 5]])</f>
        <v>579650.75720000011</v>
      </c>
      <c r="L10" s="2" t="s">
        <v>24</v>
      </c>
      <c r="M10" s="2" t="s">
        <v>21</v>
      </c>
      <c r="N10" s="2" t="s">
        <v>25</v>
      </c>
      <c r="O10" s="2" t="s">
        <v>21</v>
      </c>
      <c r="P10" s="2" t="s">
        <v>21</v>
      </c>
      <c r="Q10" s="2" t="s">
        <v>21</v>
      </c>
      <c r="R10">
        <v>1471</v>
      </c>
      <c r="S10" s="7">
        <v>37264</v>
      </c>
    </row>
    <row r="11" spans="1:19" x14ac:dyDescent="0.2">
      <c r="A11" t="s">
        <v>43</v>
      </c>
      <c r="B11" t="s">
        <v>36</v>
      </c>
      <c r="C11" s="2" t="s">
        <v>21</v>
      </c>
      <c r="D11" s="2" t="s">
        <v>37</v>
      </c>
      <c r="E11" s="2" t="s">
        <v>23</v>
      </c>
      <c r="F11" s="3">
        <v>44635</v>
      </c>
      <c r="G11" s="3">
        <v>45282</v>
      </c>
      <c r="H11" s="4">
        <v>0</v>
      </c>
      <c r="I11" s="4">
        <v>3.54</v>
      </c>
      <c r="J11" s="4">
        <v>3.6</v>
      </c>
      <c r="K11" s="6">
        <f>3243574.13+(300000*Table1[[#This Row],[(i) Total Cable Miles Installed - 5]])+(241192.23*Table1[[#This Row],[(i) Total Cable Miles Installed - 5]])+(37060.25*Table1[[#This Row],[(i) Total Cable Miles Installed - 5]])</f>
        <v>5290587.9091999996</v>
      </c>
      <c r="L11" s="2" t="s">
        <v>24</v>
      </c>
      <c r="M11" s="2" t="s">
        <v>21</v>
      </c>
      <c r="N11" s="2" t="s">
        <v>25</v>
      </c>
      <c r="O11" s="2" t="s">
        <v>21</v>
      </c>
      <c r="P11" s="2" t="s">
        <v>21</v>
      </c>
      <c r="Q11" s="2" t="s">
        <v>21</v>
      </c>
      <c r="R11">
        <v>438</v>
      </c>
      <c r="S11" s="7">
        <v>37264</v>
      </c>
    </row>
    <row r="12" spans="1:19" x14ac:dyDescent="0.2">
      <c r="A12" t="s">
        <v>44</v>
      </c>
      <c r="B12" t="s">
        <v>36</v>
      </c>
      <c r="C12" s="2" t="s">
        <v>21</v>
      </c>
      <c r="D12" s="2" t="s">
        <v>37</v>
      </c>
      <c r="E12" s="2" t="s">
        <v>23</v>
      </c>
      <c r="F12" s="3">
        <v>44635</v>
      </c>
      <c r="G12" s="3">
        <v>45281</v>
      </c>
      <c r="H12" s="4">
        <v>0</v>
      </c>
      <c r="I12" s="4">
        <v>2.68</v>
      </c>
      <c r="J12" s="4">
        <v>2.74</v>
      </c>
      <c r="K12" s="6">
        <f>2502540.71+(300000*Table1[[#This Row],[(i) Total Cable Miles Installed - 5]])+(241192.23*Table1[[#This Row],[(i) Total Cable Miles Installed - 5]])+(37060.25*Table1[[#This Row],[(i) Total Cable Miles Installed - 5]])</f>
        <v>4052257.3564000004</v>
      </c>
      <c r="L12" s="2" t="s">
        <v>24</v>
      </c>
      <c r="M12" s="2" t="s">
        <v>21</v>
      </c>
      <c r="N12" s="2" t="s">
        <v>25</v>
      </c>
      <c r="O12" s="2" t="s">
        <v>21</v>
      </c>
      <c r="P12" s="2" t="s">
        <v>21</v>
      </c>
      <c r="Q12" s="2" t="s">
        <v>21</v>
      </c>
      <c r="R12">
        <v>438</v>
      </c>
      <c r="S12" s="7">
        <v>37264</v>
      </c>
    </row>
    <row r="13" spans="1:19" x14ac:dyDescent="0.2">
      <c r="A13" t="s">
        <v>45</v>
      </c>
      <c r="B13" t="s">
        <v>36</v>
      </c>
      <c r="C13" s="2" t="s">
        <v>21</v>
      </c>
      <c r="D13" s="2" t="s">
        <v>46</v>
      </c>
      <c r="E13" s="2" t="s">
        <v>23</v>
      </c>
      <c r="F13" s="3">
        <v>44635</v>
      </c>
      <c r="G13" s="3">
        <v>45289</v>
      </c>
      <c r="H13" s="4">
        <v>0</v>
      </c>
      <c r="I13" s="4">
        <v>2.7800000000000002</v>
      </c>
      <c r="J13" s="4">
        <v>2.65</v>
      </c>
      <c r="K13" s="6">
        <f>3328525.04+(300000*Table1[[#This Row],[(i) Total Cable Miles Installed - 5]])+(241192.23*Table1[[#This Row],[(i) Total Cable Miles Installed - 5]])+(37060.25*Table1[[#This Row],[(i) Total Cable Miles Installed - 5]])</f>
        <v>4936066.9344000006</v>
      </c>
      <c r="L13" s="2" t="s">
        <v>24</v>
      </c>
      <c r="M13" s="2" t="s">
        <v>21</v>
      </c>
      <c r="N13" s="2" t="s">
        <v>25</v>
      </c>
      <c r="O13" s="2" t="s">
        <v>21</v>
      </c>
      <c r="P13" s="2" t="s">
        <v>21</v>
      </c>
      <c r="Q13" s="2" t="s">
        <v>21</v>
      </c>
      <c r="R13">
        <v>488</v>
      </c>
      <c r="S13" s="7">
        <v>37264</v>
      </c>
    </row>
    <row r="14" spans="1:19" x14ac:dyDescent="0.2">
      <c r="A14" t="s">
        <v>47</v>
      </c>
      <c r="B14" t="s">
        <v>36</v>
      </c>
      <c r="C14" s="2" t="s">
        <v>21</v>
      </c>
      <c r="D14" s="2" t="s">
        <v>48</v>
      </c>
      <c r="E14" s="2" t="s">
        <v>23</v>
      </c>
      <c r="F14" s="3">
        <v>44635</v>
      </c>
      <c r="G14" s="3">
        <v>45274</v>
      </c>
      <c r="H14" s="4">
        <v>0</v>
      </c>
      <c r="I14" s="4">
        <v>1.59</v>
      </c>
      <c r="J14" s="4">
        <v>1.34</v>
      </c>
      <c r="K14" s="6">
        <f>1553229.5+(300000*Table1[[#This Row],[(i) Total Cable Miles Installed - 5]])+(241192.23*Table1[[#This Row],[(i) Total Cable Miles Installed - 5]])+(37060.25*Table1[[#This Row],[(i) Total Cable Miles Installed - 5]])</f>
        <v>2472650.9432000001</v>
      </c>
      <c r="L14" s="2" t="s">
        <v>24</v>
      </c>
      <c r="M14" s="2" t="s">
        <v>21</v>
      </c>
      <c r="N14" s="2" t="s">
        <v>25</v>
      </c>
      <c r="O14" s="2" t="s">
        <v>21</v>
      </c>
      <c r="P14" s="2" t="s">
        <v>21</v>
      </c>
      <c r="Q14" s="2" t="s">
        <v>21</v>
      </c>
      <c r="R14">
        <v>287</v>
      </c>
      <c r="S14" s="7">
        <v>37264</v>
      </c>
    </row>
    <row r="15" spans="1:19" x14ac:dyDescent="0.2">
      <c r="A15" t="s">
        <v>49</v>
      </c>
      <c r="B15" t="s">
        <v>36</v>
      </c>
      <c r="C15" s="2" t="s">
        <v>21</v>
      </c>
      <c r="D15" s="2" t="s">
        <v>50</v>
      </c>
      <c r="E15" s="2" t="s">
        <v>23</v>
      </c>
      <c r="F15" s="3">
        <v>44635</v>
      </c>
      <c r="G15" s="3">
        <v>45282</v>
      </c>
      <c r="H15" s="4">
        <v>0</v>
      </c>
      <c r="I15" s="4">
        <v>0.75</v>
      </c>
      <c r="J15" s="4">
        <v>1.26</v>
      </c>
      <c r="K15" s="6">
        <f>1284256.46+(300000*Table1[[#This Row],[(i) Total Cable Miles Installed - 5]])+(241192.23*Table1[[#This Row],[(i) Total Cable Miles Installed - 5]])+(37060.25*Table1[[#This Row],[(i) Total Cable Miles Installed - 5]])</f>
        <v>1717945.82</v>
      </c>
      <c r="L15" s="2" t="s">
        <v>24</v>
      </c>
      <c r="M15" s="2" t="s">
        <v>21</v>
      </c>
      <c r="N15" s="2" t="s">
        <v>25</v>
      </c>
      <c r="O15" s="2" t="s">
        <v>21</v>
      </c>
      <c r="P15" s="2" t="s">
        <v>21</v>
      </c>
      <c r="Q15" s="2" t="s">
        <v>21</v>
      </c>
      <c r="R15">
        <v>411</v>
      </c>
      <c r="S15" s="7">
        <v>37264</v>
      </c>
    </row>
    <row r="16" spans="1:19" x14ac:dyDescent="0.2">
      <c r="A16" t="s">
        <v>51</v>
      </c>
      <c r="B16" t="s">
        <v>36</v>
      </c>
      <c r="C16" s="2" t="s">
        <v>21</v>
      </c>
      <c r="D16" s="2" t="s">
        <v>52</v>
      </c>
      <c r="E16" s="2" t="s">
        <v>23</v>
      </c>
      <c r="F16" s="3">
        <v>44635</v>
      </c>
      <c r="G16" s="3">
        <v>45282</v>
      </c>
      <c r="H16" s="4">
        <v>0</v>
      </c>
      <c r="I16" s="4">
        <v>1.04</v>
      </c>
      <c r="J16" s="4">
        <v>1</v>
      </c>
      <c r="K16" s="6">
        <f>1258865.61+(300000*Table1[[#This Row],[(i) Total Cable Miles Installed - 5]])+(241192.23*Table1[[#This Row],[(i) Total Cable Miles Installed - 5]])+(37060.25*Table1[[#This Row],[(i) Total Cable Miles Installed - 5]])</f>
        <v>1860248.1892000001</v>
      </c>
      <c r="L16" s="2" t="s">
        <v>24</v>
      </c>
      <c r="M16" s="2" t="s">
        <v>21</v>
      </c>
      <c r="N16" s="2" t="s">
        <v>25</v>
      </c>
      <c r="O16" s="2" t="s">
        <v>21</v>
      </c>
      <c r="P16" s="2" t="s">
        <v>21</v>
      </c>
      <c r="Q16" s="2" t="s">
        <v>21</v>
      </c>
      <c r="R16">
        <v>53</v>
      </c>
      <c r="S16" s="7">
        <v>37264</v>
      </c>
    </row>
    <row r="17" spans="1:19" x14ac:dyDescent="0.2">
      <c r="A17" t="s">
        <v>53</v>
      </c>
      <c r="B17" t="s">
        <v>36</v>
      </c>
      <c r="C17" s="2" t="s">
        <v>21</v>
      </c>
      <c r="D17" s="2" t="s">
        <v>54</v>
      </c>
      <c r="E17" s="2" t="s">
        <v>23</v>
      </c>
      <c r="F17" s="3">
        <v>44635</v>
      </c>
      <c r="G17" s="3">
        <v>45278</v>
      </c>
      <c r="H17" s="4">
        <v>0</v>
      </c>
      <c r="I17" s="4">
        <v>3.05</v>
      </c>
      <c r="J17" s="4">
        <v>2.68</v>
      </c>
      <c r="K17" s="6">
        <f>2560499.35+(300000*Table1[[#This Row],[(i) Total Cable Miles Installed - 5]])+(241192.23*Table1[[#This Row],[(i) Total Cable Miles Installed - 5]])+(37060.25*Table1[[#This Row],[(i) Total Cable Miles Installed - 5]])</f>
        <v>4324169.4139999999</v>
      </c>
      <c r="L17" s="2" t="s">
        <v>24</v>
      </c>
      <c r="M17" s="2" t="s">
        <v>21</v>
      </c>
      <c r="N17" s="2" t="s">
        <v>25</v>
      </c>
      <c r="O17" s="2" t="s">
        <v>21</v>
      </c>
      <c r="P17" s="2" t="s">
        <v>21</v>
      </c>
      <c r="Q17" s="2" t="s">
        <v>21</v>
      </c>
      <c r="R17">
        <v>260</v>
      </c>
      <c r="S17" s="7">
        <v>37264</v>
      </c>
    </row>
    <row r="18" spans="1:19" x14ac:dyDescent="0.2">
      <c r="A18" t="s">
        <v>55</v>
      </c>
      <c r="B18" t="s">
        <v>36</v>
      </c>
      <c r="C18" s="2" t="s">
        <v>21</v>
      </c>
      <c r="D18" s="2" t="s">
        <v>54</v>
      </c>
      <c r="E18" s="2" t="s">
        <v>23</v>
      </c>
      <c r="F18" s="3">
        <v>44635</v>
      </c>
      <c r="G18" s="3">
        <v>45211</v>
      </c>
      <c r="H18" s="4">
        <v>0.97650000000000003</v>
      </c>
      <c r="I18" s="4">
        <v>2.87</v>
      </c>
      <c r="J18" s="4">
        <v>1.8</v>
      </c>
      <c r="K18" s="6">
        <f>2729159.54+(300000*Table1[[#This Row],[(i) Total Cable Miles Installed - 5]])+(241192.23*Table1[[#This Row],[(i) Total Cable Miles Installed - 5]])+(37060.25*Table1[[#This Row],[(i) Total Cable Miles Installed - 5]])</f>
        <v>4388744.1576000005</v>
      </c>
      <c r="L18" s="2" t="s">
        <v>24</v>
      </c>
      <c r="M18" s="2" t="s">
        <v>21</v>
      </c>
      <c r="N18" s="2" t="s">
        <v>25</v>
      </c>
      <c r="O18" s="2" t="s">
        <v>21</v>
      </c>
      <c r="P18" s="2" t="s">
        <v>21</v>
      </c>
      <c r="Q18" s="2" t="s">
        <v>21</v>
      </c>
      <c r="R18">
        <v>260</v>
      </c>
      <c r="S18" s="7">
        <v>37264</v>
      </c>
    </row>
    <row r="19" spans="1:19" x14ac:dyDescent="0.2">
      <c r="A19" t="s">
        <v>56</v>
      </c>
      <c r="B19" t="s">
        <v>36</v>
      </c>
      <c r="C19" s="2" t="s">
        <v>21</v>
      </c>
      <c r="D19" s="2" t="s">
        <v>54</v>
      </c>
      <c r="E19" s="2" t="s">
        <v>23</v>
      </c>
      <c r="F19" s="3">
        <v>44635</v>
      </c>
      <c r="G19" s="3">
        <v>45287</v>
      </c>
      <c r="H19" s="4">
        <v>0</v>
      </c>
      <c r="I19" s="4">
        <v>1.1399999999999999</v>
      </c>
      <c r="J19" s="4">
        <v>1.05</v>
      </c>
      <c r="K19" s="6">
        <f>1214801.18+(300000*Table1[[#This Row],[(i) Total Cable Miles Installed - 5]])+(241192.23*Table1[[#This Row],[(i) Total Cable Miles Installed - 5]])+(37060.25*Table1[[#This Row],[(i) Total Cable Miles Installed - 5]])</f>
        <v>1874009.0071999999</v>
      </c>
      <c r="L19" s="2" t="s">
        <v>24</v>
      </c>
      <c r="M19" s="2" t="s">
        <v>21</v>
      </c>
      <c r="N19" s="2" t="s">
        <v>25</v>
      </c>
      <c r="O19" s="2" t="s">
        <v>21</v>
      </c>
      <c r="P19" s="2" t="s">
        <v>21</v>
      </c>
      <c r="Q19" s="2" t="s">
        <v>21</v>
      </c>
      <c r="R19">
        <v>260</v>
      </c>
      <c r="S19" s="7">
        <v>37264</v>
      </c>
    </row>
    <row r="20" spans="1:19" x14ac:dyDescent="0.2">
      <c r="A20" t="s">
        <v>57</v>
      </c>
      <c r="B20" t="s">
        <v>58</v>
      </c>
      <c r="C20" s="2" t="s">
        <v>21</v>
      </c>
      <c r="D20" s="2" t="s">
        <v>59</v>
      </c>
      <c r="E20" s="2" t="s">
        <v>23</v>
      </c>
      <c r="F20" s="3">
        <v>44351</v>
      </c>
      <c r="G20" s="3">
        <v>45281</v>
      </c>
      <c r="H20" s="4">
        <v>0</v>
      </c>
      <c r="I20" s="4">
        <v>2.3199999999999998</v>
      </c>
      <c r="J20" s="4">
        <v>1.58</v>
      </c>
      <c r="K20" s="6">
        <f>5865391.53+(300000*Table1[[#This Row],[(i) Total Cable Miles Installed - 5]])+(241192.23*Table1[[#This Row],[(i) Total Cable Miles Installed - 5]])+(37060.25*Table1[[#This Row],[(i) Total Cable Miles Installed - 5]])</f>
        <v>7206937.2836000007</v>
      </c>
      <c r="L20" s="2" t="s">
        <v>24</v>
      </c>
      <c r="M20" s="2" t="s">
        <v>21</v>
      </c>
      <c r="N20" s="2" t="s">
        <v>25</v>
      </c>
      <c r="O20" s="2" t="s">
        <v>21</v>
      </c>
      <c r="P20" s="2" t="s">
        <v>25</v>
      </c>
      <c r="Q20" s="2" t="s">
        <v>21</v>
      </c>
      <c r="R20">
        <v>360</v>
      </c>
      <c r="S20" s="7">
        <v>21784</v>
      </c>
    </row>
    <row r="21" spans="1:19" x14ac:dyDescent="0.2">
      <c r="A21" t="s">
        <v>60</v>
      </c>
      <c r="B21" t="s">
        <v>61</v>
      </c>
      <c r="C21" s="2" t="s">
        <v>21</v>
      </c>
      <c r="D21" s="2" t="s">
        <v>62</v>
      </c>
      <c r="E21" s="2" t="s">
        <v>23</v>
      </c>
      <c r="F21" s="3">
        <v>43908</v>
      </c>
      <c r="G21" s="3">
        <v>45121</v>
      </c>
      <c r="H21" s="4" t="s">
        <v>24</v>
      </c>
      <c r="I21" s="4">
        <v>0.2</v>
      </c>
      <c r="J21" s="4">
        <v>0.08</v>
      </c>
      <c r="K21" s="6">
        <f>577203.36+(300000*Table1[[#This Row],[(i) Total Cable Miles Installed - 5]])+(241192.23*Table1[[#This Row],[(i) Total Cable Miles Installed - 5]])+(37060.25*Table1[[#This Row],[(i) Total Cable Miles Installed - 5]])</f>
        <v>692853.85600000003</v>
      </c>
      <c r="L21" s="2" t="s">
        <v>24</v>
      </c>
      <c r="M21" s="2" t="s">
        <v>21</v>
      </c>
      <c r="N21" s="2" t="s">
        <v>25</v>
      </c>
      <c r="O21" s="2" t="s">
        <v>21</v>
      </c>
      <c r="P21" s="2" t="s">
        <v>21</v>
      </c>
      <c r="Q21" s="2" t="s">
        <v>21</v>
      </c>
      <c r="R21">
        <v>91</v>
      </c>
      <c r="S21" s="7">
        <v>23270</v>
      </c>
    </row>
    <row r="22" spans="1:19" x14ac:dyDescent="0.2">
      <c r="A22" t="s">
        <v>63</v>
      </c>
      <c r="B22" t="s">
        <v>64</v>
      </c>
      <c r="C22" s="2" t="s">
        <v>21</v>
      </c>
      <c r="D22" s="2" t="s">
        <v>65</v>
      </c>
      <c r="E22" s="2" t="s">
        <v>23</v>
      </c>
      <c r="F22" s="3">
        <v>44635</v>
      </c>
      <c r="G22" s="3">
        <v>45281</v>
      </c>
      <c r="H22" s="4">
        <v>0</v>
      </c>
      <c r="I22" s="4">
        <v>1.52</v>
      </c>
      <c r="J22" s="4">
        <v>1.77</v>
      </c>
      <c r="K22" s="6">
        <f>1341585.37+(300000*Table1[[#This Row],[(i) Total Cable Miles Installed - 5]])+(241192.23*Table1[[#This Row],[(i) Total Cable Miles Installed - 5]])+(37060.25*Table1[[#This Row],[(i) Total Cable Miles Installed - 5]])</f>
        <v>2220529.1396000003</v>
      </c>
      <c r="L22" s="2" t="s">
        <v>24</v>
      </c>
      <c r="M22" s="2" t="s">
        <v>21</v>
      </c>
      <c r="N22" s="2" t="s">
        <v>25</v>
      </c>
      <c r="O22" s="2" t="s">
        <v>21</v>
      </c>
      <c r="P22" s="2" t="s">
        <v>21</v>
      </c>
      <c r="Q22" s="2" t="s">
        <v>21</v>
      </c>
      <c r="R22">
        <v>89</v>
      </c>
      <c r="S22" s="7">
        <v>28176</v>
      </c>
    </row>
    <row r="23" spans="1:19" x14ac:dyDescent="0.2">
      <c r="A23" t="s">
        <v>66</v>
      </c>
      <c r="B23" t="s">
        <v>64</v>
      </c>
      <c r="C23" s="2" t="s">
        <v>21</v>
      </c>
      <c r="D23" s="2" t="s">
        <v>67</v>
      </c>
      <c r="E23" s="2" t="s">
        <v>23</v>
      </c>
      <c r="F23" s="3">
        <v>44635</v>
      </c>
      <c r="G23" s="3">
        <v>45239</v>
      </c>
      <c r="H23" s="4">
        <v>0</v>
      </c>
      <c r="I23" s="4">
        <v>2.63</v>
      </c>
      <c r="J23" s="4">
        <v>2.61</v>
      </c>
      <c r="K23" s="6">
        <f>1592809.19+(300000*Table1[[#This Row],[(i) Total Cable Miles Installed - 5]])+(241192.23*Table1[[#This Row],[(i) Total Cable Miles Installed - 5]])+(37060.25*Table1[[#This Row],[(i) Total Cable Miles Installed - 5]])</f>
        <v>3113613.2124000001</v>
      </c>
      <c r="L23" s="2" t="s">
        <v>24</v>
      </c>
      <c r="M23" s="2" t="s">
        <v>21</v>
      </c>
      <c r="N23" s="2" t="s">
        <v>25</v>
      </c>
      <c r="O23" s="2" t="s">
        <v>21</v>
      </c>
      <c r="P23" s="2" t="s">
        <v>21</v>
      </c>
      <c r="Q23" s="2" t="s">
        <v>21</v>
      </c>
      <c r="R23">
        <v>57</v>
      </c>
      <c r="S23" s="7">
        <v>28176</v>
      </c>
    </row>
    <row r="24" spans="1:19" x14ac:dyDescent="0.2">
      <c r="A24" t="s">
        <v>68</v>
      </c>
      <c r="B24" t="s">
        <v>64</v>
      </c>
      <c r="C24" s="2" t="s">
        <v>21</v>
      </c>
      <c r="D24" s="2" t="s">
        <v>67</v>
      </c>
      <c r="E24" s="2" t="s">
        <v>23</v>
      </c>
      <c r="F24" s="3">
        <v>44635</v>
      </c>
      <c r="G24" s="3">
        <v>45260</v>
      </c>
      <c r="H24" s="4">
        <v>0</v>
      </c>
      <c r="I24" s="4">
        <v>2.0700000000000003</v>
      </c>
      <c r="J24" s="4">
        <v>1.86</v>
      </c>
      <c r="K24" s="6">
        <f>1834860.21+(300000*Table1[[#This Row],[(i) Total Cable Miles Installed - 5]])+(241192.23*Table1[[#This Row],[(i) Total Cable Miles Installed - 5]])+(37060.25*Table1[[#This Row],[(i) Total Cable Miles Installed - 5]])</f>
        <v>3031842.8435999998</v>
      </c>
      <c r="L24" s="2" t="s">
        <v>24</v>
      </c>
      <c r="M24" s="2" t="s">
        <v>21</v>
      </c>
      <c r="N24" s="2" t="s">
        <v>25</v>
      </c>
      <c r="O24" s="2" t="s">
        <v>21</v>
      </c>
      <c r="P24" s="2" t="s">
        <v>21</v>
      </c>
      <c r="Q24" s="2" t="s">
        <v>21</v>
      </c>
      <c r="R24">
        <v>57</v>
      </c>
      <c r="S24" s="7">
        <v>28176</v>
      </c>
    </row>
    <row r="25" spans="1:19" x14ac:dyDescent="0.2">
      <c r="A25" t="s">
        <v>69</v>
      </c>
      <c r="B25" t="s">
        <v>64</v>
      </c>
      <c r="C25" s="2" t="s">
        <v>21</v>
      </c>
      <c r="D25" s="2" t="s">
        <v>70</v>
      </c>
      <c r="E25" s="2" t="s">
        <v>23</v>
      </c>
      <c r="F25" s="3">
        <v>44635</v>
      </c>
      <c r="G25" s="3">
        <v>45411</v>
      </c>
      <c r="H25" s="4">
        <v>0</v>
      </c>
      <c r="I25" s="4">
        <v>1.38</v>
      </c>
      <c r="J25" s="4">
        <v>6.07</v>
      </c>
      <c r="K25" s="6">
        <f>3088526.62+(300000*Table1[[#This Row],[(i) Total Cable Miles Installed - 5]])+(241192.23*Table1[[#This Row],[(i) Total Cable Miles Installed - 5]])+(37060.25*Table1[[#This Row],[(i) Total Cable Miles Installed - 5]])</f>
        <v>3886515.0424000002</v>
      </c>
      <c r="L25" s="2" t="s">
        <v>24</v>
      </c>
      <c r="M25" s="2" t="s">
        <v>21</v>
      </c>
      <c r="N25" s="2" t="s">
        <v>25</v>
      </c>
      <c r="O25" s="2" t="s">
        <v>21</v>
      </c>
      <c r="P25" s="2" t="s">
        <v>21</v>
      </c>
      <c r="Q25" s="2" t="s">
        <v>21</v>
      </c>
      <c r="R25">
        <v>865</v>
      </c>
      <c r="S25" s="7">
        <v>28176</v>
      </c>
    </row>
    <row r="26" spans="1:19" x14ac:dyDescent="0.2">
      <c r="A26" t="s">
        <v>71</v>
      </c>
      <c r="B26" t="s">
        <v>64</v>
      </c>
      <c r="C26" s="2" t="s">
        <v>21</v>
      </c>
      <c r="D26" s="2" t="s">
        <v>72</v>
      </c>
      <c r="E26" s="2" t="s">
        <v>23</v>
      </c>
      <c r="F26" s="3">
        <v>44635</v>
      </c>
      <c r="G26" s="3">
        <v>45279</v>
      </c>
      <c r="H26" s="4">
        <v>0</v>
      </c>
      <c r="I26" s="4">
        <v>0.96749999999999992</v>
      </c>
      <c r="J26" s="4">
        <v>1.33</v>
      </c>
      <c r="K26" s="6">
        <f>1688517.73+(300000*Table1[[#This Row],[(i) Total Cable Miles Installed - 5]])+(241192.23*Table1[[#This Row],[(i) Total Cable Miles Installed - 5]])+(37060.25*Table1[[#This Row],[(i) Total Cable Miles Installed - 5]])</f>
        <v>2247977.0044</v>
      </c>
      <c r="L26" s="2" t="s">
        <v>24</v>
      </c>
      <c r="M26" s="2" t="s">
        <v>21</v>
      </c>
      <c r="N26" s="2" t="s">
        <v>25</v>
      </c>
      <c r="O26" s="2" t="s">
        <v>21</v>
      </c>
      <c r="P26" s="2" t="s">
        <v>21</v>
      </c>
      <c r="Q26" s="2" t="s">
        <v>21</v>
      </c>
      <c r="R26">
        <v>356</v>
      </c>
      <c r="S26" s="7">
        <v>28176</v>
      </c>
    </row>
    <row r="27" spans="1:19" x14ac:dyDescent="0.2">
      <c r="A27" t="s">
        <v>73</v>
      </c>
      <c r="B27" t="s">
        <v>74</v>
      </c>
      <c r="C27" s="2" t="s">
        <v>21</v>
      </c>
      <c r="D27" s="2" t="s">
        <v>75</v>
      </c>
      <c r="E27" s="2" t="s">
        <v>23</v>
      </c>
      <c r="F27" s="3">
        <v>44635</v>
      </c>
      <c r="G27" s="3">
        <v>45247</v>
      </c>
      <c r="H27" s="4">
        <v>0</v>
      </c>
      <c r="I27" s="4">
        <v>2.66</v>
      </c>
      <c r="J27" s="4">
        <v>1.92</v>
      </c>
      <c r="K27" s="6">
        <f>2537945.41+(300000*Table1[[#This Row],[(i) Total Cable Miles Installed - 5]])+(241192.23*Table1[[#This Row],[(i) Total Cable Miles Installed - 5]])+(37060.25*Table1[[#This Row],[(i) Total Cable Miles Installed - 5]])</f>
        <v>4076097.0068000001</v>
      </c>
      <c r="L27" s="2" t="s">
        <v>24</v>
      </c>
      <c r="M27" s="2" t="s">
        <v>21</v>
      </c>
      <c r="N27" s="2" t="s">
        <v>25</v>
      </c>
      <c r="O27" s="2" t="s">
        <v>21</v>
      </c>
      <c r="P27" s="2" t="s">
        <v>21</v>
      </c>
      <c r="Q27" s="2" t="s">
        <v>21</v>
      </c>
      <c r="R27">
        <v>756</v>
      </c>
      <c r="S27" s="7">
        <v>14052</v>
      </c>
    </row>
    <row r="28" spans="1:19" x14ac:dyDescent="0.2">
      <c r="A28" t="s">
        <v>76</v>
      </c>
      <c r="B28" t="s">
        <v>77</v>
      </c>
      <c r="C28" s="2" t="s">
        <v>21</v>
      </c>
      <c r="D28" s="2" t="s">
        <v>78</v>
      </c>
      <c r="E28" s="2" t="s">
        <v>23</v>
      </c>
      <c r="F28" s="3">
        <v>44348</v>
      </c>
      <c r="G28" s="3">
        <v>44972</v>
      </c>
      <c r="H28" s="4">
        <v>0.71970000000000001</v>
      </c>
      <c r="I28" s="4">
        <v>0.01</v>
      </c>
      <c r="J28" s="4" t="s">
        <v>24</v>
      </c>
      <c r="K28" s="6" t="s">
        <v>24</v>
      </c>
      <c r="L28" s="2" t="s">
        <v>24</v>
      </c>
      <c r="M28" s="2" t="s">
        <v>21</v>
      </c>
      <c r="N28" s="2" t="s">
        <v>25</v>
      </c>
      <c r="O28" s="2" t="s">
        <v>21</v>
      </c>
      <c r="P28" s="2" t="s">
        <v>21</v>
      </c>
      <c r="Q28" s="2" t="s">
        <v>21</v>
      </c>
      <c r="S28" s="7">
        <v>15147</v>
      </c>
    </row>
    <row r="29" spans="1:19" x14ac:dyDescent="0.2">
      <c r="A29" t="s">
        <v>79</v>
      </c>
      <c r="B29" t="s">
        <v>80</v>
      </c>
      <c r="C29" s="2" t="s">
        <v>21</v>
      </c>
      <c r="D29" s="2" t="s">
        <v>81</v>
      </c>
      <c r="E29" s="2" t="s">
        <v>23</v>
      </c>
      <c r="F29" s="3">
        <v>44350</v>
      </c>
      <c r="G29" s="3">
        <v>44968</v>
      </c>
      <c r="H29" s="4">
        <v>0</v>
      </c>
      <c r="I29" s="4">
        <v>1.72</v>
      </c>
      <c r="J29" s="4" t="s">
        <v>24</v>
      </c>
      <c r="K29" s="6" t="s">
        <v>24</v>
      </c>
      <c r="L29" s="2" t="s">
        <v>24</v>
      </c>
      <c r="M29" s="2" t="s">
        <v>21</v>
      </c>
      <c r="N29" s="2" t="s">
        <v>25</v>
      </c>
      <c r="O29" s="2" t="s">
        <v>21</v>
      </c>
      <c r="P29" s="2" t="s">
        <v>21</v>
      </c>
      <c r="Q29" s="2" t="s">
        <v>21</v>
      </c>
      <c r="R29">
        <v>2902</v>
      </c>
      <c r="S29" s="7">
        <v>4112</v>
      </c>
    </row>
    <row r="30" spans="1:19" x14ac:dyDescent="0.2">
      <c r="A30" t="s">
        <v>82</v>
      </c>
      <c r="B30" t="s">
        <v>80</v>
      </c>
      <c r="C30" s="2" t="s">
        <v>21</v>
      </c>
      <c r="D30" s="2" t="s">
        <v>81</v>
      </c>
      <c r="E30" s="2" t="s">
        <v>23</v>
      </c>
      <c r="F30" s="3">
        <v>44350</v>
      </c>
      <c r="G30" s="3">
        <v>44987</v>
      </c>
      <c r="H30" s="4">
        <v>2.5226999999999999</v>
      </c>
      <c r="I30" s="4">
        <v>1.23</v>
      </c>
      <c r="J30" s="4" t="s">
        <v>24</v>
      </c>
      <c r="K30" s="6" t="s">
        <v>24</v>
      </c>
      <c r="L30" s="2" t="s">
        <v>24</v>
      </c>
      <c r="M30" s="2" t="s">
        <v>21</v>
      </c>
      <c r="N30" s="2" t="s">
        <v>25</v>
      </c>
      <c r="O30" s="2" t="s">
        <v>21</v>
      </c>
      <c r="P30" s="2" t="s">
        <v>25</v>
      </c>
      <c r="Q30" s="2" t="s">
        <v>21</v>
      </c>
      <c r="R30">
        <v>2902</v>
      </c>
      <c r="S30" s="7">
        <v>4112</v>
      </c>
    </row>
    <row r="31" spans="1:19" x14ac:dyDescent="0.2">
      <c r="A31" t="s">
        <v>83</v>
      </c>
      <c r="B31" t="s">
        <v>80</v>
      </c>
      <c r="C31" s="2" t="s">
        <v>21</v>
      </c>
      <c r="D31" s="2" t="s">
        <v>84</v>
      </c>
      <c r="E31" s="2" t="s">
        <v>23</v>
      </c>
      <c r="F31" s="3">
        <v>44636</v>
      </c>
      <c r="G31" s="3">
        <v>45247</v>
      </c>
      <c r="H31" s="4">
        <v>0</v>
      </c>
      <c r="I31" s="4">
        <v>6.08</v>
      </c>
      <c r="J31" s="4">
        <v>3.48</v>
      </c>
      <c r="K31" s="6">
        <f>7728739.49+(300000*Table1[[#This Row],[(i) Total Cable Miles Installed - 5]])+(241192.23*Table1[[#This Row],[(i) Total Cable Miles Installed - 5]])+(37060.25*Table1[[#This Row],[(i) Total Cable Miles Installed - 5]])</f>
        <v>11244514.568400001</v>
      </c>
      <c r="L31" s="2" t="s">
        <v>24</v>
      </c>
      <c r="M31" s="2" t="s">
        <v>21</v>
      </c>
      <c r="N31" s="2" t="s">
        <v>25</v>
      </c>
      <c r="O31" s="2" t="s">
        <v>21</v>
      </c>
      <c r="P31" s="2" t="s">
        <v>25</v>
      </c>
      <c r="Q31" s="2" t="s">
        <v>21</v>
      </c>
      <c r="R31">
        <v>2749</v>
      </c>
      <c r="S31" s="7">
        <v>4112</v>
      </c>
    </row>
    <row r="32" spans="1:19" x14ac:dyDescent="0.2">
      <c r="A32" t="s">
        <v>85</v>
      </c>
      <c r="B32" t="s">
        <v>86</v>
      </c>
      <c r="C32" s="2" t="s">
        <v>21</v>
      </c>
      <c r="D32" s="2" t="s">
        <v>87</v>
      </c>
      <c r="E32" s="2" t="s">
        <v>23</v>
      </c>
      <c r="F32" s="3">
        <v>44489</v>
      </c>
      <c r="G32" s="3">
        <v>45174</v>
      </c>
      <c r="H32" s="4">
        <v>2.9365999999999999</v>
      </c>
      <c r="I32" s="4">
        <v>8.44</v>
      </c>
      <c r="J32" s="4">
        <v>5.2</v>
      </c>
      <c r="K32" s="6">
        <f>7240946.14+(300000*Table1[[#This Row],[(i) Total Cable Miles Installed - 5]])+(241192.23*Table1[[#This Row],[(i) Total Cable Miles Installed - 5]])+(37060.25*Table1[[#This Row],[(i) Total Cable Miles Installed - 5]])</f>
        <v>12121397.0712</v>
      </c>
      <c r="L32" s="2" t="s">
        <v>24</v>
      </c>
      <c r="M32" s="2" t="s">
        <v>21</v>
      </c>
      <c r="N32" s="2" t="s">
        <v>25</v>
      </c>
      <c r="O32" s="2" t="s">
        <v>21</v>
      </c>
      <c r="P32" s="2" t="s">
        <v>21</v>
      </c>
      <c r="Q32" s="2" t="s">
        <v>21</v>
      </c>
      <c r="R32">
        <v>62</v>
      </c>
      <c r="S32" s="7">
        <v>13313</v>
      </c>
    </row>
    <row r="33" spans="1:19" x14ac:dyDescent="0.2">
      <c r="A33" t="s">
        <v>88</v>
      </c>
      <c r="B33" t="s">
        <v>86</v>
      </c>
      <c r="C33" s="2" t="s">
        <v>21</v>
      </c>
      <c r="D33" s="2" t="s">
        <v>87</v>
      </c>
      <c r="E33" s="2" t="s">
        <v>23</v>
      </c>
      <c r="F33" s="3">
        <v>44489</v>
      </c>
      <c r="G33" s="3">
        <v>45174</v>
      </c>
      <c r="H33" s="4">
        <v>4.9654999999999996</v>
      </c>
      <c r="I33" s="4">
        <v>6.13</v>
      </c>
      <c r="J33" s="4">
        <v>3.99</v>
      </c>
      <c r="K33" s="6">
        <f>5749033.06+(300000*Table1[[#This Row],[(i) Total Cable Miles Installed - 5]])+(241192.23*Table1[[#This Row],[(i) Total Cable Miles Installed - 5]])+(37060.25*Table1[[#This Row],[(i) Total Cable Miles Installed - 5]])</f>
        <v>9293720.7623999994</v>
      </c>
      <c r="L33" s="2" t="s">
        <v>24</v>
      </c>
      <c r="M33" s="2" t="s">
        <v>21</v>
      </c>
      <c r="N33" s="2" t="s">
        <v>25</v>
      </c>
      <c r="O33" s="2" t="s">
        <v>21</v>
      </c>
      <c r="P33" s="2" t="s">
        <v>21</v>
      </c>
      <c r="Q33" s="2" t="s">
        <v>21</v>
      </c>
      <c r="R33">
        <v>62</v>
      </c>
      <c r="S33" s="7">
        <v>13313</v>
      </c>
    </row>
    <row r="34" spans="1:19" x14ac:dyDescent="0.2">
      <c r="A34" t="s">
        <v>89</v>
      </c>
      <c r="B34" t="s">
        <v>90</v>
      </c>
      <c r="C34" s="2" t="s">
        <v>21</v>
      </c>
      <c r="D34" s="2" t="s">
        <v>91</v>
      </c>
      <c r="E34" s="2" t="s">
        <v>23</v>
      </c>
      <c r="F34" s="3">
        <v>44489</v>
      </c>
      <c r="G34" s="3">
        <v>44953</v>
      </c>
      <c r="H34" s="4">
        <v>0.35439999999999999</v>
      </c>
      <c r="I34" s="4">
        <v>0.39</v>
      </c>
      <c r="J34" s="4" t="s">
        <v>24</v>
      </c>
      <c r="K34" s="6" t="s">
        <v>24</v>
      </c>
      <c r="L34" s="2" t="s">
        <v>24</v>
      </c>
      <c r="M34" s="2" t="s">
        <v>21</v>
      </c>
      <c r="N34" s="2" t="s">
        <v>25</v>
      </c>
      <c r="O34" s="2" t="s">
        <v>21</v>
      </c>
      <c r="P34" s="2" t="s">
        <v>21</v>
      </c>
      <c r="Q34" s="2" t="s">
        <v>21</v>
      </c>
      <c r="R34">
        <v>223</v>
      </c>
      <c r="S34" s="7">
        <v>13282</v>
      </c>
    </row>
    <row r="36" spans="1:19" x14ac:dyDescent="0.2">
      <c r="C36" s="5" t="s">
        <v>92</v>
      </c>
    </row>
    <row r="37" spans="1:19" x14ac:dyDescent="0.2">
      <c r="C37" s="5" t="s">
        <v>93</v>
      </c>
    </row>
    <row r="38" spans="1:19" x14ac:dyDescent="0.2">
      <c r="C38" s="5" t="s">
        <v>94</v>
      </c>
    </row>
    <row r="39" spans="1:19" x14ac:dyDescent="0.2">
      <c r="C39" s="5" t="s">
        <v>95</v>
      </c>
    </row>
    <row r="40" spans="1:19" x14ac:dyDescent="0.2">
      <c r="C40" s="5" t="s">
        <v>96</v>
      </c>
    </row>
    <row r="41" spans="1:19" x14ac:dyDescent="0.2">
      <c r="C41" s="5" t="s">
        <v>97</v>
      </c>
    </row>
    <row r="42" spans="1:19" x14ac:dyDescent="0.2">
      <c r="C42" s="5" t="s">
        <v>98</v>
      </c>
    </row>
    <row r="43" spans="1:19" x14ac:dyDescent="0.2">
      <c r="C43" s="5" t="s">
        <v>99</v>
      </c>
    </row>
    <row r="44" spans="1:19" x14ac:dyDescent="0.2">
      <c r="C44" s="5" t="s">
        <v>100</v>
      </c>
    </row>
    <row r="45" spans="1:19" x14ac:dyDescent="0.2">
      <c r="C45" s="5" t="s">
        <v>101</v>
      </c>
    </row>
    <row r="48" spans="1:19" x14ac:dyDescent="0.2">
      <c r="C48" s="5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5B34FB2B05C498322EC0E0E7F8BBD" ma:contentTypeVersion="21" ma:contentTypeDescription="Create a new document." ma:contentTypeScope="" ma:versionID="c243bf6f29386086e21656a0b091e581">
  <xsd:schema xmlns:xsd="http://www.w3.org/2001/XMLSchema" xmlns:xs="http://www.w3.org/2001/XMLSchema" xmlns:p="http://schemas.microsoft.com/office/2006/metadata/properties" xmlns:ns2="2104ad18-0c40-4759-978d-9031b6355d10" xmlns:ns3="80a17f64-e774-4a01-b2f5-de7df872f7b3" targetNamespace="http://schemas.microsoft.com/office/2006/metadata/properties" ma:root="true" ma:fieldsID="4bbf6d1ef2da01010e564fac80a0ca5f" ns2:_="" ns3:_="">
    <xsd:import namespace="2104ad18-0c40-4759-978d-9031b6355d10"/>
    <xsd:import namespace="80a17f64-e774-4a01-b2f5-de7df872f7b3"/>
    <xsd:element name="properties">
      <xsd:complexType>
        <xsd:sequence>
          <xsd:element name="documentManagement">
            <xsd:complexType>
              <xsd:all>
                <xsd:element ref="ns2:QuestionsinDR" minOccurs="0"/>
                <xsd:element ref="ns2:Comment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4ad18-0c40-4759-978d-9031b6355d10" elementFormDefault="qualified">
    <xsd:import namespace="http://schemas.microsoft.com/office/2006/documentManagement/types"/>
    <xsd:import namespace="http://schemas.microsoft.com/office/infopath/2007/PartnerControls"/>
    <xsd:element name="QuestionsinDR" ma:index="3" nillable="true" ma:displayName="# Questions in DR" ma:description="The number of questions per data request" ma:format="Dropdown" ma:internalName="QuestionsinDR" ma:readOnly="false">
      <xsd:simpleType>
        <xsd:restriction base="dms:Text">
          <xsd:maxLength value="255"/>
        </xsd:restriction>
      </xsd:simpleType>
    </xsd:element>
    <xsd:element name="Comment" ma:index="4" nillable="true" ma:displayName="Comment" ma:format="Dropdown" ma:internalName="Comment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4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9c8f0f-62e3-48c7-84e8-4daf5ce6c2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17f64-e774-4a01-b2f5-de7df872f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5b4ddc04-4c88-44c7-b3d4-e8d4a0fe3abf}" ma:internalName="TaxCatchAll" ma:readOnly="false" ma:showField="CatchAllData" ma:web="80a17f64-e774-4a01-b2f5-de7df872f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QuestionsinDR xmlns="2104ad18-0c40-4759-978d-9031b6355d10" xsi:nil="true"/>
    <Comment xmlns="2104ad18-0c40-4759-978d-9031b6355d10" xsi:nil="true"/>
    <SharedWithUsers xmlns="80a17f64-e774-4a01-b2f5-de7df872f7b3">
      <UserInfo>
        <DisplayName>Gahagan, Shaun</DisplayName>
        <AccountId>390</AccountId>
        <AccountType/>
      </UserInfo>
      <UserInfo>
        <DisplayName>Kloberdanz, Kari</DisplayName>
        <AccountId>3271</AccountId>
        <AccountType/>
      </UserInfo>
      <UserInfo>
        <DisplayName>Valencia, Isaiah (Contractor)</DisplayName>
        <AccountId>3488</AccountId>
        <AccountType/>
      </UserInfo>
      <UserInfo>
        <DisplayName>Mauer, Katie</DisplayName>
        <AccountId>55</AccountId>
        <AccountType/>
      </UserInfo>
      <UserInfo>
        <DisplayName>Nimick, Jan A (Contractor)</DisplayName>
        <AccountId>4096</AccountId>
        <AccountType/>
      </UserInfo>
      <UserInfo>
        <DisplayName>McMillin, Lena</DisplayName>
        <AccountId>86</AccountId>
        <AccountType/>
      </UserInfo>
      <UserInfo>
        <DisplayName>Thomas, Willie</DisplayName>
        <AccountId>42</AccountId>
        <AccountType/>
      </UserInfo>
      <UserInfo>
        <DisplayName>Gabriel, Robert</DisplayName>
        <AccountId>1819</AccountId>
        <AccountType/>
      </UserInfo>
      <UserInfo>
        <DisplayName>Estrada, Juan</DisplayName>
        <AccountId>2607</AccountId>
        <AccountType/>
      </UserInfo>
      <UserInfo>
        <DisplayName>Smith, Caitlin G</DisplayName>
        <AccountId>2742</AccountId>
        <AccountType/>
      </UserInfo>
      <UserInfo>
        <DisplayName>Parikh, Minal K</DisplayName>
        <AccountId>178</AccountId>
        <AccountType/>
      </UserInfo>
      <UserInfo>
        <DisplayName>Fallon, Cassandra A</DisplayName>
        <AccountId>2983</AccountId>
        <AccountType/>
      </UserInfo>
      <UserInfo>
        <DisplayName>Knowd, Tim M.</DisplayName>
        <AccountId>169</AccountId>
        <AccountType/>
      </UserInfo>
      <UserInfo>
        <DisplayName>Woldemariam, Jonathan</DisplayName>
        <AccountId>32</AccountId>
        <AccountType/>
      </UserInfo>
      <UserInfo>
        <DisplayName>DeLouis, Bobby</DisplayName>
        <AccountId>3555</AccountId>
        <AccountType/>
      </UserInfo>
      <UserInfo>
        <DisplayName>Menon, Nisha</DisplayName>
        <AccountId>19</AccountId>
        <AccountType/>
      </UserInfo>
      <UserInfo>
        <DisplayName>Taylor, Cynthia S</DisplayName>
        <AccountId>702</AccountId>
        <AccountType/>
      </UserInfo>
      <UserInfo>
        <DisplayName>Woldegiorgis, Shewit T</DisplayName>
        <AccountId>940</AccountId>
        <AccountType/>
      </UserInfo>
      <UserInfo>
        <DisplayName>Davis, Erick (Contractor)</DisplayName>
        <AccountId>2156</AccountId>
        <AccountType/>
      </UserInfo>
      <UserInfo>
        <DisplayName>Fulton, Laura M</DisplayName>
        <AccountId>689</AccountId>
        <AccountType/>
      </UserInfo>
      <UserInfo>
        <DisplayName>Makhamreh, Mazen (Contractor)</DisplayName>
        <AccountId>30</AccountId>
        <AccountType/>
      </UserInfo>
      <UserInfo>
        <DisplayName>Sebastian Peral, Joaquin</DisplayName>
        <AccountId>46</AccountId>
        <AccountType/>
      </UserInfo>
      <UserInfo>
        <DisplayName>Black, John (Contractor)</DisplayName>
        <AccountId>4098</AccountId>
        <AccountType/>
      </UserInfo>
      <UserInfo>
        <DisplayName>Flamenbaum, Robert</DisplayName>
        <AccountId>45</AccountId>
        <AccountType/>
      </UserInfo>
      <UserInfo>
        <DisplayName>Bertolini, Crystal A</DisplayName>
        <AccountId>22</AccountId>
        <AccountType/>
      </UserInfo>
      <UserInfo>
        <DisplayName>Cui, Landy Ye</DisplayName>
        <AccountId>162</AccountId>
        <AccountType/>
      </UserInfo>
      <UserInfo>
        <DisplayName>Biscay, Cameron H</DisplayName>
        <AccountId>4152</AccountId>
        <AccountType/>
      </UserInfo>
    </SharedWithUsers>
    <lcf76f155ced4ddcb4097134ff3c332f xmlns="2104ad18-0c40-4759-978d-9031b6355d10">
      <Terms xmlns="http://schemas.microsoft.com/office/infopath/2007/PartnerControls"/>
    </lcf76f155ced4ddcb4097134ff3c332f>
    <TaxCatchAll xmlns="80a17f64-e774-4a01-b2f5-de7df872f7b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AD021-F7FA-4FCD-A481-C57E344CC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4ad18-0c40-4759-978d-9031b6355d10"/>
    <ds:schemaRef ds:uri="80a17f64-e774-4a01-b2f5-de7df872f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77D199-83FF-4AB1-95C0-AB0424077DFD}">
  <ds:schemaRefs>
    <ds:schemaRef ds:uri="http://schemas.microsoft.com/office/2006/metadata/properties"/>
    <ds:schemaRef ds:uri="http://schemas.microsoft.com/office/infopath/2007/PartnerControls"/>
    <ds:schemaRef ds:uri="2104ad18-0c40-4759-978d-9031b6355d10"/>
    <ds:schemaRef ds:uri="80a17f64-e774-4a01-b2f5-de7df872f7b3"/>
  </ds:schemaRefs>
</ds:datastoreItem>
</file>

<file path=customXml/itemProps3.xml><?xml version="1.0" encoding="utf-8"?>
<ds:datastoreItem xmlns:ds="http://schemas.openxmlformats.org/officeDocument/2006/customXml" ds:itemID="{D0806269-5DAF-4D2F-8EB7-DCB8BD42670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9b7cde0-d580-4baa-b993-829072e57bff}" enabled="1" method="Standard" siteId="{07420c3d-c141-4c67-b6f3-f448e5adb67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2024-04-17T19:49:51Z</dcterms:created>
  <dcterms:modified xsi:type="dcterms:W3CDTF">2024-04-25T22:08:05Z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0x0101007BC5B34FB2B05C498322EC0E0E7F8BBD</vt:lpwstr>
  </property>
</Properties>
</file>