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/>
  <xr:revisionPtr revIDLastSave="0" documentId="13_ncr:1_{65968F17-3411-0C43-9DAA-0751717FBC93}" xr6:coauthVersionLast="47" xr6:coauthVersionMax="47" xr10:uidLastSave="{00000000-0000-0000-0000-000000000000}"/>
  <bookViews>
    <workbookView xWindow="-580" yWindow="-21100" windowWidth="35840" windowHeight="20780" xr2:uid="{28D154DA-7F77-4021-901F-0C3A77965335}"/>
  </bookViews>
  <sheets>
    <sheet name="2026 OEIS Table 4-3 (MGRA)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9" l="1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O2" i="9"/>
  <c r="L13" i="9"/>
  <c r="L12" i="9"/>
  <c r="L9" i="9"/>
  <c r="L6" i="9"/>
  <c r="L5" i="9"/>
  <c r="L3" i="9"/>
  <c r="T16" i="9"/>
  <c r="S16" i="9"/>
  <c r="T15" i="9"/>
  <c r="S15" i="9"/>
  <c r="T14" i="9"/>
  <c r="S14" i="9"/>
  <c r="T13" i="9"/>
  <c r="S13" i="9"/>
  <c r="T12" i="9"/>
  <c r="S12" i="9"/>
  <c r="T11" i="9"/>
  <c r="S11" i="9"/>
  <c r="T10" i="9"/>
  <c r="S10" i="9"/>
  <c r="T9" i="9"/>
  <c r="S9" i="9"/>
  <c r="T8" i="9"/>
  <c r="S8" i="9"/>
  <c r="T7" i="9"/>
  <c r="S7" i="9"/>
  <c r="T6" i="9"/>
  <c r="S6" i="9"/>
  <c r="T5" i="9"/>
  <c r="S5" i="9"/>
  <c r="T4" i="9"/>
  <c r="S4" i="9"/>
  <c r="T3" i="9"/>
  <c r="S3" i="9"/>
  <c r="T2" i="9"/>
  <c r="S2" i="9"/>
  <c r="R18" i="9"/>
  <c r="Q18" i="9"/>
  <c r="N7" i="9"/>
  <c r="N3" i="9"/>
  <c r="M16" i="9"/>
  <c r="N16" i="9" s="1"/>
  <c r="M15" i="9"/>
  <c r="N15" i="9" s="1"/>
  <c r="M14" i="9"/>
  <c r="N14" i="9" s="1"/>
  <c r="M13" i="9"/>
  <c r="N13" i="9" s="1"/>
  <c r="M12" i="9"/>
  <c r="N12" i="9" s="1"/>
  <c r="M11" i="9"/>
  <c r="N11" i="9" s="1"/>
  <c r="M10" i="9"/>
  <c r="N10" i="9" s="1"/>
  <c r="M9" i="9"/>
  <c r="N9" i="9" s="1"/>
  <c r="M8" i="9"/>
  <c r="N8" i="9" s="1"/>
  <c r="M6" i="9"/>
  <c r="N6" i="9" s="1"/>
  <c r="M5" i="9"/>
  <c r="N5" i="9" s="1"/>
  <c r="M4" i="9"/>
  <c r="N4" i="9" s="1"/>
  <c r="M2" i="9"/>
  <c r="N2" i="9" s="1"/>
  <c r="J16" i="9"/>
  <c r="K16" i="9" s="1"/>
  <c r="L16" i="9" s="1"/>
  <c r="J15" i="9"/>
  <c r="K15" i="9" s="1"/>
  <c r="L15" i="9" s="1"/>
  <c r="J14" i="9"/>
  <c r="K14" i="9" s="1"/>
  <c r="L14" i="9" s="1"/>
  <c r="J13" i="9"/>
  <c r="K13" i="9" s="1"/>
  <c r="J12" i="9"/>
  <c r="K12" i="9" s="1"/>
  <c r="J11" i="9"/>
  <c r="K11" i="9" s="1"/>
  <c r="L11" i="9" s="1"/>
  <c r="J10" i="9"/>
  <c r="K10" i="9" s="1"/>
  <c r="L10" i="9" s="1"/>
  <c r="J9" i="9"/>
  <c r="K9" i="9" s="1"/>
  <c r="J8" i="9"/>
  <c r="K8" i="9" s="1"/>
  <c r="L8" i="9" s="1"/>
  <c r="J7" i="9"/>
  <c r="K7" i="9" s="1"/>
  <c r="L7" i="9" s="1"/>
  <c r="J6" i="9"/>
  <c r="K6" i="9" s="1"/>
  <c r="J5" i="9"/>
  <c r="K5" i="9" s="1"/>
  <c r="J4" i="9"/>
  <c r="K4" i="9" s="1"/>
  <c r="L4" i="9" s="1"/>
  <c r="J3" i="9"/>
  <c r="K3" i="9" s="1"/>
  <c r="J2" i="9"/>
  <c r="V2" i="9" l="1" a="1"/>
  <c r="V2" i="9" s="1"/>
  <c r="O7" i="9"/>
  <c r="O3" i="9"/>
  <c r="Q19" i="9"/>
  <c r="O12" i="9"/>
  <c r="O14" i="9"/>
  <c r="R19" i="9"/>
  <c r="Q20" i="9" s="1"/>
  <c r="U12" i="9" s="1"/>
  <c r="O16" i="9"/>
  <c r="O8" i="9"/>
  <c r="O9" i="9"/>
  <c r="O11" i="9"/>
  <c r="O15" i="9"/>
  <c r="O6" i="9"/>
  <c r="O4" i="9"/>
  <c r="O5" i="9"/>
  <c r="O10" i="9"/>
  <c r="O13" i="9"/>
  <c r="U9" i="9" l="1"/>
  <c r="U16" i="9"/>
  <c r="U8" i="9"/>
  <c r="U15" i="9"/>
  <c r="U7" i="9"/>
  <c r="U6" i="9"/>
  <c r="U14" i="9"/>
  <c r="U13" i="9"/>
  <c r="U5" i="9"/>
  <c r="U2" i="9"/>
  <c r="K2" i="9" s="1"/>
  <c r="U11" i="9"/>
  <c r="U4" i="9"/>
  <c r="U3" i="9"/>
  <c r="U10" i="9"/>
  <c r="R20" i="9"/>
  <c r="L2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<sst xmlns="http://schemas.openxmlformats.org/spreadsheetml/2006/main" count="119" uniqueCount="118">
  <si>
    <t>Entry #</t>
  </si>
  <si>
    <t>Circuit_x000D_ID</t>
  </si>
  <si>
    <t>Name of Circuit</t>
  </si>
  <si>
    <t>Dates of Outages</t>
  </si>
  <si>
    <t>Number of Customers Hours of PSPS per Outage</t>
  </si>
  <si>
    <t>Number of Residential Customers Hours of PSPS per Outage</t>
  </si>
  <si>
    <t>Number of Commerial/Industrial Customers Hours of PSPS per Outage</t>
  </si>
  <si>
    <t>Measures Taken, or Planned to Be Taken, to Reduce the Need for and Impact of Future PSPS of Circuit</t>
  </si>
  <si>
    <t>Estimated Annual Decline in PSPS Events and PSPS Impact on Customers</t>
  </si>
  <si>
    <t>Oct 10-11, 2019
Oct 24-25, 2019
Oct 30-31, 2019
Sept 9, 2020
Dec 2–4, 2020
Dec 7–9, 2020
Dec 23–24, 2020
Dec 9-11, 2024</t>
  </si>
  <si>
    <t>556
3,830
34,959
204
90,733
70,063
1,121
76,079</t>
  </si>
  <si>
    <t>519
2,322
27,738
190
71,543
55,773
1,046
64,223</t>
  </si>
  <si>
    <t>37
1,508
7,221
14
19,191
14,290
75
11,857</t>
  </si>
  <si>
    <t>Strategic Undergrounding: 44.61 miles completed to date; 8.77 miles planned for 2025; 59.5 miles planned for 2027-2028 that will be extended to 2031-2032 due to 2024-27 GRC Decision funding prioritization
PSPS Sectionalizing: 7 SCADA reclosers available for sectionalizing
Situational Awareness: 6 weather stations on circuit
Customer Resiliency Programs: 175 customers have participated to date; customers will be invited to participate in 2025</t>
  </si>
  <si>
    <t>60,844 fewer customer hours of PSPS per year</t>
  </si>
  <si>
    <t>Oct 24-25, 2019
Oct 30-31, 2019
Dec 2-4, 2020
Dec 7-8, 2020
Dec 23-24, 2020
Nov 25-26, 2021
Dec 9-11, 2024</t>
  </si>
  <si>
    <t>8,411
3,639
12,881
873
4,578
3,360
5,804</t>
  </si>
  <si>
    <t>7,655
3,316
11,643
800
4,137
2,795
5,056</t>
  </si>
  <si>
    <t>756
323
1,238
73
441
565
748</t>
  </si>
  <si>
    <t>PSPS Sectionalizing: 3 SCADA reclosers available for sectionalizing Situational Awareness: 2 weather stations on circuit Customer Resiliency Programs: 60 customers have participated to date; customers will be invited to participate in 2025</t>
  </si>
  <si>
    <t>5,957 fewer customer hours of PSPS per year</t>
  </si>
  <si>
    <t>Oct 24-26, 2019 
Oct 30-31, 2019 
Oct 27, 2020
Dec 2-4, 2020 
Dec 7-8, 2020 
Nov 6-7, 2024
Dec 9-11, 2024</t>
  </si>
  <si>
    <t>6,431
5,180
922
6,066
2,591
4,362
6,986</t>
  </si>
  <si>
    <t>4,823
3,885
686
4,171
1,929
3,116
4,990</t>
  </si>
  <si>
    <t>1,608
1,295
236
1,896
662
1,246
1,996</t>
  </si>
  <si>
    <t>Strategic Undergrounding: 1.4 miles to be completed in 2025; 0.5 miles planned for 2025, 14.9 miles planned for 2026, and 8.1 miles planned for 2027 will be extended to 2029-30 due to 2024-27 GRC Decision funding prioritization
PSPS Sectionalizing: 4 SCADA reclosers available for sectionalizing
Situational Awareness: 1 weather station on circuit
Customer Resiliency Programs: 30 customers have participated to date; customers will be invited to participate in 2025</t>
  </si>
  <si>
    <t>2,758 fewer customer hours of PSPS per year</t>
  </si>
  <si>
    <t>Oct 24-26, 2019 
Oct 30-31, 2019 
Dec 2-4, 2020 
Dec 7-9, 2020 
Dec 23-24, 2020 
Nov 25-26, 2021
Nov 6-8, 2024
Dec 9-11, 2024</t>
  </si>
  <si>
    <t>33,147
23,413
39,926
23,721
11,998
21,572
6,659
48,208</t>
  </si>
  <si>
    <t>24,635
17,305
30,797
17,683
8,778
17,334
5,105
39,460</t>
  </si>
  <si>
    <t>8,512
6,109
9,129
6,039
3,220
4,238
1,554
8,748</t>
  </si>
  <si>
    <t>Strategic Undergrounding: 6.9 miles planned for 2027 will be extended to 2029-30 due to 2024-27 GRC Decision funding prioritization
PSPS Sectionalizing: 7 SCADA reclosers available for sectionalizing
Situational Awareness: 6 weather stations on circuit
Customer Resiliency Programs: 114 customers have participated to date; customers will be invited to participate in 2025</t>
  </si>
  <si>
    <t>8,042 fewer customer hours of PSPS per year</t>
  </si>
  <si>
    <t>214/CTL1</t>
  </si>
  <si>
    <t>Oct 24-26, 2019* 
Oct 30-31, 2019 
Dec 2-4, 2020*
Dec 7-9, 2020*
Dec 24, 2020*
Nov 25, 2021
Dec 9-11, 2024*</t>
  </si>
  <si>
    <t>29,003
11,723
38,947
27,007
10,345
4,701
36,284</t>
  </si>
  <si>
    <t>22,968
9,314
29,510
20,708
7,819
3,763
27,853</t>
  </si>
  <si>
    <t>6,035
2,409
9,437
6,299
2,526
938
8,431</t>
  </si>
  <si>
    <t>Strategic Undergrounding: 9.4 miles planned for 2026, 35.27 miles planned for 2027, and 10.21 miles planned for 2028 will be extended to 2030-32 due to 2024-27 GRC Decision funding prioritization
PSPS Sectionalizing: 7 SCADA reclosers available for sectionalizing
Situational Awareness: 5 weather stations on circuit
Customer Resiliency Programs: 47 customers have participated to date; customers will be invited to participate in 2025</t>
  </si>
  <si>
    <t>3,433 fewer customer hours of PSPS per year</t>
  </si>
  <si>
    <t>Oct 25-26, 2019 
Oct 30-31, 2019 
Dec 3-4, 2020 
Dec 7-8, 2020 
Dec 24, 2020 
Dec 9-11, 2024</t>
  </si>
  <si>
    <t>15,687
14,491
18,208
7,733
3,989
22,504</t>
  </si>
  <si>
    <t>13,659
12,617
15,673
7,010
3,616
20,095</t>
  </si>
  <si>
    <t>2,028
1,874
2,535
723
373
2,410</t>
  </si>
  <si>
    <t>PSPS Sectionalizing: 4 SCADA reclosers available for sectionalizing
Situational Awareness: 4 weather stations on circuit
Customer Resiliency Programs: 82 customers have participated to date; customers will be invited to participate in 2025</t>
  </si>
  <si>
    <t>5,009 fewer customer hours of PSPS per year</t>
  </si>
  <si>
    <t>Oct 24-26, 2019* 
Oct 30-31, 2019
Dec 2-4, 2020* 
Dec 7-9, 2020* 
Dec 24, 2020*
Dec 9-11, 2024*</t>
  </si>
  <si>
    <t>12,158
12,384
16,252
13,905
4,187
15,166</t>
  </si>
  <si>
    <t>8,466
8,567
11,336
9,699
2,921
10,865</t>
  </si>
  <si>
    <t>3,691
3,816
4,916
4,206
1,266
4,301</t>
  </si>
  <si>
    <t>Strategic Undergrounding: 11.45 miles completed in 2024; 6 miles to be completed in 2025; 10.4 miles planned for 2025, 35.44 miles planned for 2026, 8.41 miles planned for 2027, and 8 miles planned for 2028  will be extended to 2029-32 due to 2024-27 GRC Decision funding prioritization
PSPS Sectionalizing: 3 SCADA reclosers available for sectionalizing
Situational Awareness: 4 weather stations on circuit
Customer Resiliency Programs: 16 customers have participated to date; customers will be invited to participate in 2025</t>
  </si>
  <si>
    <t>8,781 fewer customer hours of PSPS per year</t>
  </si>
  <si>
    <t xml:space="preserve">Oct 24-26, 2019 
Oct 30-31, 2019 
Dec 2-4, 2020 
Dec 7-10, 2020 
Dec 23-24, 2020
Dec 9-11, 2024  </t>
  </si>
  <si>
    <t>59,335
50,094
61,822
54,124
4,703
66,226</t>
  </si>
  <si>
    <t>41,330
34,383
42,249
37,621
2,855
50,326</t>
  </si>
  <si>
    <t>18,005
15,711
19,573
16,503
1,848
15,900</t>
  </si>
  <si>
    <t>Strategic Undergrounding: 62 miles completed to date; 6 miles to be completed in 2025; 13.7 miles planned for 2025, 13.52 miles planned for 2026, 44.52 miles planned for 2027, and 14.65 miles planned for 2028  will be extended to 2029-32 due to 2024-27 GRC Decision funding prioritization
PSPS Sectionalizing: 7 SCADA reclosers available for sectionalizing
Situational Awareness: 7 weather stations on circuit
Customer Resiliency Programs: 618 customers have participated to date; customers will be invited to participate in 2025</t>
  </si>
  <si>
    <t>95,367 fewer customer hours of PSPS per year</t>
  </si>
  <si>
    <t>Oct 24-25, 2019
Oct 30-31, 2019
Dec 2-4, 2020
Dec 7-8, 2020
Dec 23-24, 2020
Nov 25-26, 2021
Nov 6-7, 2024
Dec 9-11, 2024</t>
  </si>
  <si>
    <t>9,287
11,316
15,190
3,819
3,300
7,822
2,777
8,266</t>
  </si>
  <si>
    <t>7,193
7,984
10,705
2,613
2,325
5,543
2,495
5,533</t>
  </si>
  <si>
    <t>2,094
3,332
4,485
1,206
974
2,279
282
2,734</t>
  </si>
  <si>
    <t>Strategic Undergrounding: 5.56 miles completed to date;  5.24 miles to be completed in 2025; 4.6 miles planned for 2026 and 3.5 miles planned for 2027 will be extended to 2030-31 due to 2024-27 GRC Decision funding prioritization
PSPS Sectionalizing: 1 SCADA recloser available for sectionalizing; 1 device planned for 2026
Situational Awareness: 3 weather stations on circuit
Customer Resiliency Programs: 41 customers have participated to date; customers will be invited to participate in 2025</t>
  </si>
  <si>
    <t>13,017 fewer customer hours of PSPS per year</t>
  </si>
  <si>
    <t>Oct 24-26, 2019
Oct 30-31, 2019
Oct 27, 2020
Dec 2-3, 2020
Dec 7-8, 2020
Nov 6-7, 2024
Dec 9-11, 2024</t>
  </si>
  <si>
    <t>5,329
4,026
760
2,596
2,418
2,966
5,006</t>
  </si>
  <si>
    <t>2,639
1,994
380
1,298
1,209
1,470
2,481</t>
  </si>
  <si>
    <t>2,690
2,033
380
1,298
1,209
1,496
2,525</t>
  </si>
  <si>
    <t>Strategic Undergrounding: 0.2 miles completed to date; 6.32 miles to be completed in 2025; 4 miles planned for 2026 and 4.75 miles planned for 2027 will be extended to 2030-31 due to 2024-27 GRC Decision funding prioritization
PSPS Sectionalizing: 4 SCADA reclosers available for sectionalizing
Situational Awareness: 2 weather stations on circuit
Customer Resiliency Programs: 19 customers have participated to date; customers will be invited to participate in 2025</t>
  </si>
  <si>
    <t>2,961 fewer customer hours of PSPS per year</t>
  </si>
  <si>
    <t>Oct 10-11, 2019
Oct 24-26, 2019
Oct 30-31, 2019
Oct 27, 2020
Dec 2–4, 2020
Dec 7–8, 2020
Nov 24-26, 2021
Nov 6-7, 2024
Dec 9-11, 2024</t>
  </si>
  <si>
    <t>6,967
16,837
13,495
10,222
81,871
39,755
80,027
26,052
87,950</t>
  </si>
  <si>
    <t>5,812
14,096
11,298
8,167
66,039
32,067
66,189
21,370
72,758</t>
  </si>
  <si>
    <t>1,154
2,741
2,197
2,055
15,832
7,688
13,838
4,682
15,192</t>
  </si>
  <si>
    <t>Strategic Undergrounding: 27.43 miles completed to date;  1.89 miles to be completed in 2025; 39.62 miles planned for 2026 and 2027 will be extended to 2032-33 due to 2024-27 GRC Decision funding prioritization
PSPS Sectionalizing: 7 SCADA reclosers available for sectionalizing
Situational Awareness: 4 weather stations on circuit
Customer Resiliency Programs: 89 customers have participated to date; customers will be invited to participate in 2025</t>
  </si>
  <si>
    <t>26,620 fewer customer hours of PSPS per year</t>
  </si>
  <si>
    <t>Oct 24-25, 2019
Oct 30-31, 2019
Dec 2-4, 2020
Dec 7-9, 2020
Dec 23-24, 2020</t>
  </si>
  <si>
    <t>345
493
13,863
689
238</t>
  </si>
  <si>
    <t>0
0
11,226
0
0</t>
  </si>
  <si>
    <t>345
493
2,636
689
238</t>
  </si>
  <si>
    <t>Strategic Undergrounding: 12.55 miles completed to date; 0.1 miles in scope to be completed by 2025 (3 miles of underbuilt overhead to be removed from service)
PSPS Sectionalizing: 2 SCADA reclosers available for sectionalizing
Situational Awareness: 2 weather stations on circuit
Customer Resiliency Programs: 87 customers have participated to date; customers will be invited to participate in 2025</t>
  </si>
  <si>
    <t>4,012 fewer customer hours of PSPS per year</t>
  </si>
  <si>
    <t>Oct 24-25, 2019
Oct 30-31, 2019
Dec 2-4, 2020
Dec 7-8, 2020
Dec 24, 2020
Nov 25, 2021
Dec 9-11, 2024</t>
  </si>
  <si>
    <t>6,249
7,877
8,980
2,259
2,196
1,328
5,465</t>
  </si>
  <si>
    <t>5,453
6,853
7,816
1,923
1,902
1,165
4,976</t>
  </si>
  <si>
    <t>796
1,025
1,163
336
294
163
489</t>
  </si>
  <si>
    <t>Strategic Undergrounding: 1.21 miles completed in 2024; 1 mile planned for 2026 will be extended to 2029 due to 2024-27 GRC decision prioritization
PSPS Sectionalizing: 3 SCADA reclosers available for sectionalizing
Situational Awareness: 2 weather stations on circuit
Customer Resiliency Programs: 30 customers have participated to date; customers will be invited to participate in 2025</t>
  </si>
  <si>
    <t>4,989 fewer customer hours of PSPS per year</t>
  </si>
  <si>
    <t>Oct 10-11, 2019
Oct 24-26, 2019
Oct 29-31, 20219
Nov 17-18, 2019
Sept 8-9, 2020
Dec 2-4, 2020
Dec 7-9, 2020
Dec 23-24, 2020
Nov 24-26, 2021
Nov 6-7, 2024
Dec 9-11, 2024</t>
  </si>
  <si>
    <t>451
29,262
27,981
182
512
74,951
67,229
596
8,738
740
81,906</t>
  </si>
  <si>
    <t>285
22,365
21,762
124
351
59,006
52,927
397
7,345
575
66,663</t>
  </si>
  <si>
    <t>166
6,896
6,219
57
162
15,945
14,302
199
1,392
164
15,243</t>
  </si>
  <si>
    <t>Strategic Undergrounding: 3.38 miles completed to date; 25 miles planned for 2026-27 will be extended to 2030-31 due to 2024-27 GRC decision prioritization
PSPS Sectionalizing: 10 SCADA reclosers available for sectionalizing
Situational Awareness: 9 weather stations on circuit
Customer Resiliency Programs: 113 customers have participated to date; customers will be invited to participate in 2025</t>
  </si>
  <si>
    <t>15,347 fewer customer hours of PSPS per year</t>
  </si>
  <si>
    <t>Oct 30-31, 2019
Dec 2-4, 2020
Dec 7-8, 2020 
Dec 23-24, 2020
Dec 10-11, 2024</t>
  </si>
  <si>
    <t>15,458
17,826
7,812
5,483
14,776</t>
  </si>
  <si>
    <t>11,787
13,495
5,784
4,158
11,295</t>
  </si>
  <si>
    <t>3,671
4,331
2,029
1,325
3,481</t>
  </si>
  <si>
    <t>Strategic Undergrounding: 2.69 miles completed to date; 31.85 miles planned for 2026 and 2028 will be extended to 2031-32 due to 2024-27 GRC decision prioritization
PSPS Sectionalizing: 2 SCADA reclosers available for sectionalizing
Situational Awareness: 2 weather stations on circuit
Customer Resiliency Programs: 8 customers have participated to date; customers will be invited to participate in 2025</t>
  </si>
  <si>
    <t>1,986 fewer customer hours of PSPS per year</t>
  </si>
  <si>
    <t>*Customers on 4 kV circuit CTL1 were impacted as a result of de-energizing circuit 214. No independent operations for PSPS purposes occurred on 4 kV circuit CTL1.</t>
  </si>
  <si>
    <t>Reduced hours</t>
  </si>
  <si>
    <t>CMI</t>
  </si>
  <si>
    <t>Reduce CMI cost per year, $M</t>
  </si>
  <si>
    <t>UG Cost @$3M/mile       $M</t>
  </si>
  <si>
    <t>Payoff time (years)</t>
  </si>
  <si>
    <t>UG miles current-2028</t>
  </si>
  <si>
    <t>2025 Circuit Customers - Residential</t>
  </si>
  <si>
    <t>2025 Circuit Customers - Commercial/Industrial</t>
  </si>
  <si>
    <t>Totals:</t>
  </si>
  <si>
    <t>Fraction</t>
  </si>
  <si>
    <t>Fraction RC</t>
  </si>
  <si>
    <t>SDGE CMI weighting</t>
  </si>
  <si>
    <t>Fraction RC Cost SDG&amp;E</t>
  </si>
  <si>
    <t>Effective CMI SDG&amp;E</t>
  </si>
  <si>
    <t>CMI C&amp;I (PG&amp;E)</t>
  </si>
  <si>
    <t>Reduced CMI C&amp;I only (PG&amp;E)</t>
  </si>
  <si>
    <t>Payof time C&amp;I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</si>
</sst>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#,##0.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</font>
    <font>
      <sz val="11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1" xfId="1" applyFont="1" applyBorder="1" applyAlignment="1">
      <alignment vertical="top" wrapText="1"/>
    </xf>
    <xf numFmtId="0" fontId="1" fillId="0" borderId="0" xfId="1"/>
    <xf numFmtId="0" fontId="4" fillId="0" borderId="2" xfId="1" applyFont="1" applyBorder="1" applyAlignment="1">
      <alignment horizontal="right" vertical="top" wrapText="1"/>
    </xf>
    <xf numFmtId="0" fontId="4" fillId="0" borderId="2" xfId="1" applyFont="1" applyBorder="1" applyAlignment="1">
      <alignment vertical="top" wrapText="1"/>
    </xf>
    <xf numFmtId="0" fontId="5" fillId="0" borderId="3" xfId="1" applyFont="1" applyBorder="1" applyAlignment="1">
      <alignment vertical="top" wrapText="1"/>
    </xf>
    <xf numFmtId="0" fontId="2" fillId="0" borderId="0" xfId="1" applyFont="1"/>
    <xf numFmtId="0" fontId="6" fillId="0" borderId="2" xfId="1" applyFont="1" applyBorder="1" applyAlignment="1">
      <alignment horizontal="right" vertical="top" wrapText="1"/>
    </xf>
    <xf numFmtId="0" fontId="5" fillId="0" borderId="2" xfId="1" applyFont="1" applyBorder="1" applyAlignment="1">
      <alignment vertical="top" wrapText="1"/>
    </xf>
    <xf numFmtId="3" fontId="6" fillId="0" borderId="2" xfId="1" applyNumberFormat="1" applyFont="1" applyBorder="1" applyAlignment="1">
      <alignment horizontal="right" vertical="top" wrapText="1"/>
    </xf>
    <xf numFmtId="0" fontId="6" fillId="0" borderId="2" xfId="1" applyFont="1" applyBorder="1" applyAlignment="1">
      <alignment vertical="top" wrapText="1"/>
    </xf>
    <xf numFmtId="0" fontId="6" fillId="0" borderId="0" xfId="1" applyFont="1" applyAlignment="1">
      <alignment vertical="top"/>
    </xf>
    <xf numFmtId="0" fontId="6" fillId="0" borderId="0" xfId="1" applyFont="1" applyAlignment="1">
      <alignment vertical="top" wrapText="1"/>
    </xf>
    <xf numFmtId="0" fontId="6" fillId="0" borderId="4" xfId="1" applyFont="1" applyBorder="1" applyAlignment="1">
      <alignment horizontal="right" vertical="top" wrapText="1"/>
    </xf>
    <xf numFmtId="0" fontId="6" fillId="0" borderId="4" xfId="1" applyFont="1" applyBorder="1" applyAlignment="1">
      <alignment vertical="top" wrapText="1"/>
    </xf>
    <xf numFmtId="0" fontId="5" fillId="0" borderId="4" xfId="1" applyFont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3" fontId="6" fillId="0" borderId="4" xfId="1" applyNumberFormat="1" applyFont="1" applyBorder="1" applyAlignment="1">
      <alignment horizontal="right" vertical="top" wrapText="1"/>
    </xf>
    <xf numFmtId="0" fontId="4" fillId="0" borderId="4" xfId="1" applyFont="1" applyBorder="1" applyAlignment="1">
      <alignment horizontal="right" vertical="top" wrapText="1"/>
    </xf>
    <xf numFmtId="0" fontId="3" fillId="0" borderId="4" xfId="1" applyFont="1" applyBorder="1" applyAlignment="1">
      <alignment vertical="top" wrapText="1"/>
    </xf>
    <xf numFmtId="43" fontId="3" fillId="0" borderId="4" xfId="3" applyFont="1" applyBorder="1" applyAlignment="1">
      <alignment vertical="top" wrapText="1"/>
    </xf>
    <xf numFmtId="43" fontId="5" fillId="0" borderId="4" xfId="3" applyFont="1" applyBorder="1" applyAlignment="1">
      <alignment vertical="top" wrapText="1"/>
    </xf>
    <xf numFmtId="43" fontId="6" fillId="0" borderId="0" xfId="3" applyFont="1" applyAlignment="1">
      <alignment vertical="top" wrapText="1"/>
    </xf>
    <xf numFmtId="43" fontId="5" fillId="0" borderId="4" xfId="1" applyNumberFormat="1" applyFont="1" applyBorder="1" applyAlignment="1">
      <alignment vertical="top" wrapText="1"/>
    </xf>
    <xf numFmtId="3" fontId="4" fillId="0" borderId="2" xfId="1" applyNumberFormat="1" applyFont="1" applyBorder="1" applyAlignment="1">
      <alignment horizontal="right" vertical="top" wrapText="1"/>
    </xf>
    <xf numFmtId="3" fontId="6" fillId="0" borderId="0" xfId="1" applyNumberFormat="1" applyFont="1" applyAlignment="1">
      <alignment vertical="top" wrapText="1"/>
    </xf>
    <xf numFmtId="165" fontId="4" fillId="0" borderId="2" xfId="1" applyNumberFormat="1" applyFont="1" applyBorder="1" applyAlignment="1">
      <alignment horizontal="right" vertical="top" wrapText="1"/>
    </xf>
  </cellXfs>
  <cellStyles count="4">
    <cellStyle name="Comma" xfId="3" builtinId="3"/>
    <cellStyle name="Normal" xfId="0" builtinId="0"/>
    <cellStyle name="Normal 2" xfId="2" xr:uid="{C99FAFA0-1ECF-4496-8C92-80CFFBB43FF4}"/>
    <cellStyle name="Normal 5" xfId="1" xr:uid="{30A7EC3E-EB18-424F-88ED-2694875B3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BF68-875D-4A4D-B36D-1E085706710D}">
  <dimension ref="A1:Y20"/>
  <sheetViews>
    <sheetView tabSelected="1" zoomScale="90" zoomScaleNormal="90" workbookViewId="0">
      <pane ySplit="1" topLeftCell="A9" activePane="bottomLeft" state="frozen"/>
      <selection pane="bottomLeft" activeCell="P2" sqref="P2:P16"/>
    </sheetView>
  </sheetViews>
  <sheetFormatPr baseColWidth="10" defaultColWidth="9.1640625" defaultRowHeight="15" customHeight="1" x14ac:dyDescent="0.2"/>
  <cols>
    <col min="1" max="1" width="7.1640625" style="12" bestFit="1" customWidth="1"/>
    <col min="2" max="2" width="9.33203125" style="12" bestFit="1" customWidth="1"/>
    <col min="3" max="3" width="14.6640625" style="12" bestFit="1" customWidth="1"/>
    <col min="4" max="4" width="16.33203125" style="12" bestFit="1" customWidth="1"/>
    <col min="5" max="7" width="24.33203125" style="12" customWidth="1"/>
    <col min="8" max="8" width="52.33203125" style="12" bestFit="1" customWidth="1"/>
    <col min="9" max="9" width="49.33203125" style="12" customWidth="1"/>
    <col min="10" max="10" width="14.1640625" style="22" customWidth="1"/>
    <col min="11" max="11" width="16.33203125" style="22" customWidth="1"/>
    <col min="12" max="12" width="14.83203125" style="22" customWidth="1"/>
    <col min="13" max="16" width="11.83203125" style="12" customWidth="1"/>
    <col min="17" max="18" width="24.33203125" style="12" customWidth="1"/>
    <col min="19" max="19" width="14.1640625" style="12" customWidth="1"/>
    <col min="20" max="20" width="14.6640625" style="12" customWidth="1"/>
    <col min="21" max="22" width="16.1640625" style="12" customWidth="1"/>
    <col min="23" max="24" width="11.83203125" style="12" customWidth="1"/>
    <col min="25" max="16384" width="9.1640625" style="2"/>
  </cols>
  <sheetData>
    <row r="1" spans="1:25" ht="64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" t="s">
        <v>8</v>
      </c>
      <c r="J1" s="20" t="s">
        <v>101</v>
      </c>
      <c r="K1" s="20" t="s">
        <v>103</v>
      </c>
      <c r="L1" s="20" t="s">
        <v>116</v>
      </c>
      <c r="M1" s="19" t="s">
        <v>106</v>
      </c>
      <c r="N1" s="19" t="s">
        <v>104</v>
      </c>
      <c r="O1" s="19" t="s">
        <v>105</v>
      </c>
      <c r="P1" s="19" t="s">
        <v>117</v>
      </c>
      <c r="Q1" s="19" t="s">
        <v>107</v>
      </c>
      <c r="R1" s="19" t="s">
        <v>108</v>
      </c>
      <c r="S1" s="19" t="s">
        <v>111</v>
      </c>
      <c r="T1" s="19" t="s">
        <v>113</v>
      </c>
      <c r="U1" s="19" t="s">
        <v>114</v>
      </c>
      <c r="V1" s="19" t="s">
        <v>115</v>
      </c>
      <c r="W1" s="19"/>
      <c r="X1" s="19" t="s">
        <v>102</v>
      </c>
      <c r="Y1" s="19"/>
    </row>
    <row r="2" spans="1:25" s="6" customFormat="1" ht="148.25" customHeight="1" x14ac:dyDescent="0.2">
      <c r="A2" s="16">
        <v>1</v>
      </c>
      <c r="B2" s="15">
        <v>1030</v>
      </c>
      <c r="C2" s="15">
        <v>1030</v>
      </c>
      <c r="D2" s="16" t="s">
        <v>9</v>
      </c>
      <c r="E2" s="18" t="s">
        <v>10</v>
      </c>
      <c r="F2" s="3" t="s">
        <v>11</v>
      </c>
      <c r="G2" s="3" t="s">
        <v>12</v>
      </c>
      <c r="H2" s="4" t="s">
        <v>13</v>
      </c>
      <c r="I2" s="5" t="s">
        <v>14</v>
      </c>
      <c r="J2" s="21">
        <f>VALUE(LEFT(I2,FIND(" ",I2)-1))</f>
        <v>60844</v>
      </c>
      <c r="K2" s="21">
        <f>J2*60*U2/1000000</f>
        <v>12.759372271693566</v>
      </c>
      <c r="L2" s="21">
        <f>K2*R2/Q2</f>
        <v>2.3862532258760809</v>
      </c>
      <c r="M2" s="15">
        <f>44.61+8.77+59.5</f>
        <v>112.88</v>
      </c>
      <c r="N2" s="15">
        <f>3*M2</f>
        <v>338.64</v>
      </c>
      <c r="O2" s="23">
        <f>$N2/K2</f>
        <v>26.540490612635125</v>
      </c>
      <c r="P2" s="23">
        <f>$N2/L2</f>
        <v>141.91285163194399</v>
      </c>
      <c r="Q2" s="24">
        <v>1171</v>
      </c>
      <c r="R2" s="24">
        <v>219</v>
      </c>
      <c r="S2" s="26">
        <f>Q2/(Q2+R2)</f>
        <v>0.84244604316546767</v>
      </c>
      <c r="T2" s="26">
        <f>Q2/(Q2+3*R2)</f>
        <v>0.64059080962800874</v>
      </c>
      <c r="U2" s="26">
        <f>$X$2*$Q$20/T2</f>
        <v>3.4951055901687282</v>
      </c>
      <c r="V2" s="24" t="e" cm="1" vm="1">
        <f t="array" aca="1" ref="V2" ca="1">M:M</f>
        <v>#VALUE!</v>
      </c>
      <c r="W2" s="15"/>
      <c r="X2" s="15">
        <v>3.87</v>
      </c>
    </row>
    <row r="3" spans="1:25" s="6" customFormat="1" ht="105.5" customHeight="1" x14ac:dyDescent="0.2">
      <c r="A3" s="16">
        <v>2</v>
      </c>
      <c r="B3" s="15">
        <v>1166</v>
      </c>
      <c r="C3" s="15">
        <v>1166</v>
      </c>
      <c r="D3" s="16" t="s">
        <v>15</v>
      </c>
      <c r="E3" s="18" t="s">
        <v>16</v>
      </c>
      <c r="F3" s="3" t="s">
        <v>17</v>
      </c>
      <c r="G3" s="3" t="s">
        <v>18</v>
      </c>
      <c r="H3" s="4" t="s">
        <v>19</v>
      </c>
      <c r="I3" s="5" t="s">
        <v>20</v>
      </c>
      <c r="J3" s="21">
        <f t="shared" ref="J3:J16" si="0">VALUE(LEFT(I3,FIND(" ",I3)-1))</f>
        <v>5957</v>
      </c>
      <c r="K3" s="21">
        <f t="shared" ref="K3:K16" si="1">J3*60*X$2/1000000</f>
        <v>1.3832154000000001</v>
      </c>
      <c r="L3" s="21">
        <f t="shared" ref="L3:L16" si="2">K3*R3/Q3</f>
        <v>0.20601080425531917</v>
      </c>
      <c r="M3" s="15">
        <v>0</v>
      </c>
      <c r="N3" s="15">
        <f t="shared" ref="N3:N16" si="3">3*M3</f>
        <v>0</v>
      </c>
      <c r="O3" s="23">
        <f t="shared" ref="O3:O16" si="4">N3/K3</f>
        <v>0</v>
      </c>
      <c r="P3" s="23">
        <f t="shared" ref="P3:P16" si="5">$N3/L3</f>
        <v>0</v>
      </c>
      <c r="Q3" s="24">
        <v>141</v>
      </c>
      <c r="R3" s="24">
        <v>21</v>
      </c>
      <c r="S3" s="26">
        <f t="shared" ref="S3:S16" si="6">Q3/(Q3+R3)</f>
        <v>0.87037037037037035</v>
      </c>
      <c r="T3" s="26">
        <f t="shared" ref="T3:T16" si="7">Q3/(Q3+3*R3)</f>
        <v>0.69117647058823528</v>
      </c>
      <c r="U3" s="26">
        <f t="shared" ref="U3:U16" si="8">$X$2*$Q$20/T3</f>
        <v>3.2393066243069453</v>
      </c>
      <c r="V3" s="24"/>
      <c r="W3" s="15"/>
      <c r="X3" s="15"/>
    </row>
    <row r="4" spans="1:25" ht="162" customHeight="1" x14ac:dyDescent="0.2">
      <c r="A4" s="16">
        <v>3</v>
      </c>
      <c r="B4" s="15">
        <v>1215</v>
      </c>
      <c r="C4" s="15">
        <v>1215</v>
      </c>
      <c r="D4" s="14" t="s">
        <v>21</v>
      </c>
      <c r="E4" s="13" t="s">
        <v>22</v>
      </c>
      <c r="F4" s="7" t="s">
        <v>23</v>
      </c>
      <c r="G4" s="7" t="s">
        <v>24</v>
      </c>
      <c r="H4" s="8" t="s">
        <v>25</v>
      </c>
      <c r="I4" s="5" t="s">
        <v>26</v>
      </c>
      <c r="J4" s="21">
        <f t="shared" si="0"/>
        <v>2758</v>
      </c>
      <c r="K4" s="21">
        <f t="shared" si="1"/>
        <v>0.64040759999999997</v>
      </c>
      <c r="L4" s="21">
        <f t="shared" si="2"/>
        <v>0.25616304000000001</v>
      </c>
      <c r="M4" s="15">
        <f>1.4+0.5+14.9+8.1</f>
        <v>24.9</v>
      </c>
      <c r="N4" s="15">
        <f t="shared" si="3"/>
        <v>74.699999999999989</v>
      </c>
      <c r="O4" s="23">
        <f t="shared" si="4"/>
        <v>116.64446205822665</v>
      </c>
      <c r="P4" s="23">
        <f t="shared" si="5"/>
        <v>291.61115514556661</v>
      </c>
      <c r="Q4" s="9">
        <v>110</v>
      </c>
      <c r="R4" s="9">
        <v>44</v>
      </c>
      <c r="S4" s="26">
        <f t="shared" si="6"/>
        <v>0.7142857142857143</v>
      </c>
      <c r="T4" s="26">
        <f t="shared" si="7"/>
        <v>0.45454545454545453</v>
      </c>
      <c r="U4" s="26">
        <f t="shared" si="8"/>
        <v>4.9256515434314432</v>
      </c>
      <c r="V4" s="9"/>
      <c r="W4" s="15"/>
      <c r="X4" s="15"/>
    </row>
    <row r="5" spans="1:25" ht="128" x14ac:dyDescent="0.2">
      <c r="A5" s="16">
        <v>4</v>
      </c>
      <c r="B5" s="15">
        <v>157</v>
      </c>
      <c r="C5" s="15">
        <v>157</v>
      </c>
      <c r="D5" s="14" t="s">
        <v>27</v>
      </c>
      <c r="E5" s="17" t="s">
        <v>28</v>
      </c>
      <c r="F5" s="9" t="s">
        <v>29</v>
      </c>
      <c r="G5" s="9" t="s">
        <v>30</v>
      </c>
      <c r="H5" s="8" t="s">
        <v>31</v>
      </c>
      <c r="I5" s="5" t="s">
        <v>32</v>
      </c>
      <c r="J5" s="21">
        <f t="shared" si="0"/>
        <v>8042</v>
      </c>
      <c r="K5" s="21">
        <f t="shared" si="1"/>
        <v>1.8673524000000001</v>
      </c>
      <c r="L5" s="21">
        <f t="shared" si="2"/>
        <v>0.42043383377245513</v>
      </c>
      <c r="M5" s="15">
        <f>6.9</f>
        <v>6.9</v>
      </c>
      <c r="N5" s="15">
        <f t="shared" si="3"/>
        <v>20.700000000000003</v>
      </c>
      <c r="O5" s="23">
        <f t="shared" si="4"/>
        <v>11.08521348193303</v>
      </c>
      <c r="P5" s="23">
        <f t="shared" si="5"/>
        <v>49.234857752202558</v>
      </c>
      <c r="Q5" s="9">
        <v>835</v>
      </c>
      <c r="R5" s="9">
        <v>188</v>
      </c>
      <c r="S5" s="26">
        <f t="shared" si="6"/>
        <v>0.8162267839687195</v>
      </c>
      <c r="T5" s="26">
        <f t="shared" si="7"/>
        <v>0.59685489635453892</v>
      </c>
      <c r="U5" s="26">
        <f t="shared" si="8"/>
        <v>3.7512174791837722</v>
      </c>
      <c r="V5" s="9"/>
      <c r="W5" s="15"/>
      <c r="X5" s="15"/>
    </row>
    <row r="6" spans="1:25" ht="128" x14ac:dyDescent="0.2">
      <c r="A6" s="16">
        <v>5</v>
      </c>
      <c r="B6" s="15" t="s">
        <v>33</v>
      </c>
      <c r="C6" s="15" t="s">
        <v>33</v>
      </c>
      <c r="D6" s="14" t="s">
        <v>34</v>
      </c>
      <c r="E6" s="13" t="s">
        <v>35</v>
      </c>
      <c r="F6" s="7" t="s">
        <v>36</v>
      </c>
      <c r="G6" s="7" t="s">
        <v>37</v>
      </c>
      <c r="H6" s="8" t="s">
        <v>38</v>
      </c>
      <c r="I6" s="5" t="s">
        <v>39</v>
      </c>
      <c r="J6" s="21">
        <f t="shared" si="0"/>
        <v>3433</v>
      </c>
      <c r="K6" s="21">
        <f t="shared" si="1"/>
        <v>0.79714259999999992</v>
      </c>
      <c r="L6" s="21">
        <f t="shared" si="2"/>
        <v>0.23667010723781387</v>
      </c>
      <c r="M6" s="15">
        <f>9.4+35.27+10.21</f>
        <v>54.88</v>
      </c>
      <c r="N6" s="15">
        <f t="shared" si="3"/>
        <v>164.64000000000001</v>
      </c>
      <c r="O6" s="23">
        <f t="shared" si="4"/>
        <v>206.53770103366705</v>
      </c>
      <c r="P6" s="23">
        <f t="shared" si="5"/>
        <v>695.65185870543576</v>
      </c>
      <c r="Q6" s="9">
        <v>677</v>
      </c>
      <c r="R6" s="9">
        <v>201</v>
      </c>
      <c r="S6" s="26">
        <f t="shared" si="6"/>
        <v>0.77107061503416852</v>
      </c>
      <c r="T6" s="26">
        <f t="shared" si="7"/>
        <v>0.52890625000000002</v>
      </c>
      <c r="U6" s="26">
        <f t="shared" si="8"/>
        <v>4.2331368172366366</v>
      </c>
      <c r="V6" s="9"/>
      <c r="W6" s="15"/>
      <c r="X6" s="15"/>
    </row>
    <row r="7" spans="1:25" ht="96" x14ac:dyDescent="0.2">
      <c r="A7" s="16">
        <v>6</v>
      </c>
      <c r="B7" s="15">
        <v>215</v>
      </c>
      <c r="C7" s="15">
        <v>215</v>
      </c>
      <c r="D7" s="14" t="s">
        <v>40</v>
      </c>
      <c r="E7" s="13" t="s">
        <v>41</v>
      </c>
      <c r="F7" s="7" t="s">
        <v>42</v>
      </c>
      <c r="G7" s="7" t="s">
        <v>43</v>
      </c>
      <c r="H7" s="10" t="s">
        <v>44</v>
      </c>
      <c r="I7" s="5" t="s">
        <v>45</v>
      </c>
      <c r="J7" s="21">
        <f t="shared" si="0"/>
        <v>5009</v>
      </c>
      <c r="K7" s="21">
        <f t="shared" si="1"/>
        <v>1.1630898000000001</v>
      </c>
      <c r="L7" s="21">
        <f t="shared" si="2"/>
        <v>0.14075609044585988</v>
      </c>
      <c r="M7" s="15">
        <v>0</v>
      </c>
      <c r="N7" s="15">
        <f t="shared" si="3"/>
        <v>0</v>
      </c>
      <c r="O7" s="23">
        <f t="shared" si="4"/>
        <v>0</v>
      </c>
      <c r="P7" s="23">
        <f t="shared" si="5"/>
        <v>0</v>
      </c>
      <c r="Q7" s="9">
        <v>471</v>
      </c>
      <c r="R7" s="9">
        <v>57</v>
      </c>
      <c r="S7" s="26">
        <f t="shared" si="6"/>
        <v>0.89204545454545459</v>
      </c>
      <c r="T7" s="26">
        <f t="shared" si="7"/>
        <v>0.73364485981308414</v>
      </c>
      <c r="U7" s="26">
        <f t="shared" si="8"/>
        <v>3.0517933708579292</v>
      </c>
      <c r="V7" s="9"/>
      <c r="W7" s="15"/>
      <c r="X7" s="15"/>
    </row>
    <row r="8" spans="1:25" ht="185.5" customHeight="1" x14ac:dyDescent="0.2">
      <c r="A8" s="16">
        <v>7</v>
      </c>
      <c r="B8" s="15">
        <v>220</v>
      </c>
      <c r="C8" s="15">
        <v>220</v>
      </c>
      <c r="D8" s="14" t="s">
        <v>46</v>
      </c>
      <c r="E8" s="17" t="s">
        <v>47</v>
      </c>
      <c r="F8" s="9" t="s">
        <v>48</v>
      </c>
      <c r="G8" s="9" t="s">
        <v>49</v>
      </c>
      <c r="H8" s="8" t="s">
        <v>50</v>
      </c>
      <c r="I8" s="5" t="s">
        <v>51</v>
      </c>
      <c r="J8" s="21">
        <f t="shared" si="0"/>
        <v>8781</v>
      </c>
      <c r="K8" s="21">
        <f t="shared" si="1"/>
        <v>2.0389482000000001</v>
      </c>
      <c r="L8" s="21">
        <f t="shared" si="2"/>
        <v>0.81557928000000002</v>
      </c>
      <c r="M8" s="15">
        <f>11.45+6+10.4+35.44+8.41</f>
        <v>71.7</v>
      </c>
      <c r="N8" s="15">
        <f t="shared" si="3"/>
        <v>215.10000000000002</v>
      </c>
      <c r="O8" s="23">
        <f t="shared" si="4"/>
        <v>105.49556874470868</v>
      </c>
      <c r="P8" s="23">
        <f t="shared" si="5"/>
        <v>263.7389218617717</v>
      </c>
      <c r="Q8" s="9">
        <v>240</v>
      </c>
      <c r="R8" s="9">
        <v>96</v>
      </c>
      <c r="S8" s="26">
        <f t="shared" si="6"/>
        <v>0.7142857142857143</v>
      </c>
      <c r="T8" s="26">
        <f t="shared" si="7"/>
        <v>0.45454545454545453</v>
      </c>
      <c r="U8" s="26">
        <f t="shared" si="8"/>
        <v>4.9256515434314432</v>
      </c>
      <c r="V8" s="9"/>
      <c r="W8" s="15"/>
      <c r="X8" s="15"/>
    </row>
    <row r="9" spans="1:25" ht="182" customHeight="1" x14ac:dyDescent="0.2">
      <c r="A9" s="16">
        <v>8</v>
      </c>
      <c r="B9" s="15">
        <v>222</v>
      </c>
      <c r="C9" s="15">
        <v>222</v>
      </c>
      <c r="D9" s="14" t="s">
        <v>52</v>
      </c>
      <c r="E9" s="13" t="s">
        <v>53</v>
      </c>
      <c r="F9" s="7" t="s">
        <v>54</v>
      </c>
      <c r="G9" s="9" t="s">
        <v>55</v>
      </c>
      <c r="H9" s="8" t="s">
        <v>56</v>
      </c>
      <c r="I9" s="5" t="s">
        <v>57</v>
      </c>
      <c r="J9" s="21">
        <f t="shared" si="0"/>
        <v>95367</v>
      </c>
      <c r="K9" s="21">
        <f t="shared" si="1"/>
        <v>22.144217400000002</v>
      </c>
      <c r="L9" s="21">
        <f t="shared" si="2"/>
        <v>7.1759591176938375</v>
      </c>
      <c r="M9" s="15">
        <f>62+6+13.7+13.52+44.52+14.65</f>
        <v>154.39000000000001</v>
      </c>
      <c r="N9" s="15">
        <f t="shared" si="3"/>
        <v>463.17000000000007</v>
      </c>
      <c r="O9" s="23">
        <f t="shared" si="4"/>
        <v>20.916069944291642</v>
      </c>
      <c r="P9" s="23">
        <f t="shared" si="5"/>
        <v>64.544682098028815</v>
      </c>
      <c r="Q9" s="9">
        <v>1006</v>
      </c>
      <c r="R9" s="9">
        <v>326</v>
      </c>
      <c r="S9" s="26">
        <f t="shared" si="6"/>
        <v>0.75525525525525528</v>
      </c>
      <c r="T9" s="26">
        <f t="shared" si="7"/>
        <v>0.50705645161290325</v>
      </c>
      <c r="U9" s="26">
        <f t="shared" si="8"/>
        <v>4.4155488262100047</v>
      </c>
      <c r="V9" s="9"/>
      <c r="W9" s="15"/>
      <c r="X9" s="15"/>
    </row>
    <row r="10" spans="1:25" ht="167" customHeight="1" x14ac:dyDescent="0.2">
      <c r="A10" s="16">
        <v>9</v>
      </c>
      <c r="B10" s="15">
        <v>358</v>
      </c>
      <c r="C10" s="15">
        <v>358</v>
      </c>
      <c r="D10" s="14" t="s">
        <v>58</v>
      </c>
      <c r="E10" s="13" t="s">
        <v>59</v>
      </c>
      <c r="F10" s="7" t="s">
        <v>60</v>
      </c>
      <c r="G10" s="7" t="s">
        <v>61</v>
      </c>
      <c r="H10" s="8" t="s">
        <v>62</v>
      </c>
      <c r="I10" s="5" t="s">
        <v>63</v>
      </c>
      <c r="J10" s="21">
        <f t="shared" si="0"/>
        <v>13017</v>
      </c>
      <c r="K10" s="21">
        <f t="shared" si="1"/>
        <v>3.0225474000000001</v>
      </c>
      <c r="L10" s="21">
        <f t="shared" si="2"/>
        <v>0.70300098913813458</v>
      </c>
      <c r="M10" s="15">
        <f>5.56+5.24+4.6+3.5</f>
        <v>18.899999999999999</v>
      </c>
      <c r="N10" s="15">
        <f t="shared" si="3"/>
        <v>56.699999999999996</v>
      </c>
      <c r="O10" s="23">
        <f t="shared" si="4"/>
        <v>18.759011024938765</v>
      </c>
      <c r="P10" s="23">
        <f t="shared" si="5"/>
        <v>80.654225066614885</v>
      </c>
      <c r="Q10" s="9">
        <v>847</v>
      </c>
      <c r="R10" s="9">
        <v>197</v>
      </c>
      <c r="S10" s="26">
        <f t="shared" si="6"/>
        <v>0.81130268199233713</v>
      </c>
      <c r="T10" s="26">
        <f t="shared" si="7"/>
        <v>0.58901251738525728</v>
      </c>
      <c r="U10" s="26">
        <f t="shared" si="8"/>
        <v>3.8011628847560455</v>
      </c>
      <c r="V10" s="9"/>
      <c r="W10" s="15"/>
      <c r="X10" s="15"/>
    </row>
    <row r="11" spans="1:25" ht="165.5" customHeight="1" x14ac:dyDescent="0.2">
      <c r="A11" s="16">
        <v>10</v>
      </c>
      <c r="B11" s="15">
        <v>441</v>
      </c>
      <c r="C11" s="15">
        <v>441</v>
      </c>
      <c r="D11" s="14" t="s">
        <v>64</v>
      </c>
      <c r="E11" s="13" t="s">
        <v>65</v>
      </c>
      <c r="F11" s="7" t="s">
        <v>66</v>
      </c>
      <c r="G11" s="7" t="s">
        <v>67</v>
      </c>
      <c r="H11" s="8" t="s">
        <v>68</v>
      </c>
      <c r="I11" s="5" t="s">
        <v>69</v>
      </c>
      <c r="J11" s="21">
        <f t="shared" si="0"/>
        <v>2961</v>
      </c>
      <c r="K11" s="21">
        <f t="shared" si="1"/>
        <v>0.68754420000000005</v>
      </c>
      <c r="L11" s="21">
        <f t="shared" si="2"/>
        <v>0.78940259999999995</v>
      </c>
      <c r="M11" s="15">
        <f>0.2+6.32+4+4.75</f>
        <v>15.27</v>
      </c>
      <c r="N11" s="15">
        <f t="shared" si="3"/>
        <v>45.81</v>
      </c>
      <c r="O11" s="23">
        <f t="shared" si="4"/>
        <v>66.62844366951245</v>
      </c>
      <c r="P11" s="23">
        <f t="shared" si="5"/>
        <v>58.031225131510844</v>
      </c>
      <c r="Q11" s="9">
        <v>54</v>
      </c>
      <c r="R11" s="9">
        <v>62</v>
      </c>
      <c r="S11" s="26">
        <f t="shared" si="6"/>
        <v>0.46551724137931033</v>
      </c>
      <c r="T11" s="26">
        <f t="shared" si="7"/>
        <v>0.22500000000000001</v>
      </c>
      <c r="U11" s="26">
        <f t="shared" si="8"/>
        <v>9.9508111988513992</v>
      </c>
      <c r="V11" s="9"/>
      <c r="W11" s="15"/>
      <c r="X11" s="15"/>
    </row>
    <row r="12" spans="1:25" ht="144" x14ac:dyDescent="0.2">
      <c r="A12" s="16">
        <v>11</v>
      </c>
      <c r="B12" s="15">
        <v>445</v>
      </c>
      <c r="C12" s="15">
        <v>445</v>
      </c>
      <c r="D12" s="14" t="s">
        <v>70</v>
      </c>
      <c r="E12" s="13" t="s">
        <v>71</v>
      </c>
      <c r="F12" s="7" t="s">
        <v>72</v>
      </c>
      <c r="G12" s="7" t="s">
        <v>73</v>
      </c>
      <c r="H12" s="8" t="s">
        <v>74</v>
      </c>
      <c r="I12" s="5" t="s">
        <v>75</v>
      </c>
      <c r="J12" s="21">
        <f t="shared" si="0"/>
        <v>26620</v>
      </c>
      <c r="K12" s="21">
        <f t="shared" si="1"/>
        <v>6.1811639999999999</v>
      </c>
      <c r="L12" s="21">
        <f t="shared" si="2"/>
        <v>1.346229609561753</v>
      </c>
      <c r="M12" s="15">
        <f>27.43+1.89+39.62</f>
        <v>68.94</v>
      </c>
      <c r="N12" s="15">
        <f t="shared" si="3"/>
        <v>206.82</v>
      </c>
      <c r="O12" s="23">
        <f t="shared" si="4"/>
        <v>33.459717295965611</v>
      </c>
      <c r="P12" s="23">
        <f t="shared" si="5"/>
        <v>153.62906782842748</v>
      </c>
      <c r="Q12" s="9">
        <v>753</v>
      </c>
      <c r="R12" s="9">
        <v>164</v>
      </c>
      <c r="S12" s="26">
        <f t="shared" si="6"/>
        <v>0.82115594329334785</v>
      </c>
      <c r="T12" s="26">
        <f t="shared" si="7"/>
        <v>0.60481927710843375</v>
      </c>
      <c r="U12" s="26">
        <f t="shared" si="8"/>
        <v>3.7018206999711136</v>
      </c>
      <c r="V12" s="9"/>
      <c r="W12" s="15"/>
      <c r="X12" s="15"/>
    </row>
    <row r="13" spans="1:25" ht="173.5" customHeight="1" x14ac:dyDescent="0.2">
      <c r="A13" s="16">
        <v>12</v>
      </c>
      <c r="B13" s="15">
        <v>75</v>
      </c>
      <c r="C13" s="15">
        <v>75</v>
      </c>
      <c r="D13" s="14" t="s">
        <v>76</v>
      </c>
      <c r="E13" s="13" t="s">
        <v>77</v>
      </c>
      <c r="F13" s="7" t="s">
        <v>78</v>
      </c>
      <c r="G13" s="7" t="s">
        <v>79</v>
      </c>
      <c r="H13" s="8" t="s">
        <v>80</v>
      </c>
      <c r="I13" s="5" t="s">
        <v>81</v>
      </c>
      <c r="J13" s="21">
        <f t="shared" si="0"/>
        <v>4012</v>
      </c>
      <c r="K13" s="21">
        <f t="shared" si="1"/>
        <v>0.93158640000000004</v>
      </c>
      <c r="L13" s="21">
        <f t="shared" si="2"/>
        <v>0.15420457474402732</v>
      </c>
      <c r="M13" s="15">
        <f>12.55+0.1</f>
        <v>12.65</v>
      </c>
      <c r="N13" s="15">
        <f t="shared" si="3"/>
        <v>37.950000000000003</v>
      </c>
      <c r="O13" s="23">
        <f t="shared" si="4"/>
        <v>40.736962239895306</v>
      </c>
      <c r="P13" s="23">
        <f t="shared" si="5"/>
        <v>246.10164817091388</v>
      </c>
      <c r="Q13" s="9">
        <v>586</v>
      </c>
      <c r="R13" s="9">
        <v>97</v>
      </c>
      <c r="S13" s="26">
        <f t="shared" si="6"/>
        <v>0.85797950219619323</v>
      </c>
      <c r="T13" s="26">
        <f t="shared" si="7"/>
        <v>0.66818700114025087</v>
      </c>
      <c r="U13" s="26">
        <f t="shared" si="8"/>
        <v>3.3507573716951407</v>
      </c>
      <c r="V13" s="9"/>
      <c r="W13" s="15"/>
      <c r="X13" s="15"/>
    </row>
    <row r="14" spans="1:25" ht="112" x14ac:dyDescent="0.2">
      <c r="A14" s="16">
        <v>13</v>
      </c>
      <c r="B14" s="15">
        <v>78</v>
      </c>
      <c r="C14" s="15">
        <v>78</v>
      </c>
      <c r="D14" s="14" t="s">
        <v>82</v>
      </c>
      <c r="E14" s="13" t="s">
        <v>83</v>
      </c>
      <c r="F14" s="7" t="s">
        <v>84</v>
      </c>
      <c r="G14" s="7" t="s">
        <v>85</v>
      </c>
      <c r="H14" s="8" t="s">
        <v>86</v>
      </c>
      <c r="I14" s="5" t="s">
        <v>87</v>
      </c>
      <c r="J14" s="21">
        <f t="shared" si="0"/>
        <v>4989</v>
      </c>
      <c r="K14" s="21">
        <f t="shared" si="1"/>
        <v>1.1584458</v>
      </c>
      <c r="L14" s="21">
        <f t="shared" si="2"/>
        <v>0.11480093513513515</v>
      </c>
      <c r="M14" s="15">
        <f>1.21+1</f>
        <v>2.21</v>
      </c>
      <c r="N14" s="15">
        <f t="shared" si="3"/>
        <v>6.63</v>
      </c>
      <c r="O14" s="23">
        <f t="shared" si="4"/>
        <v>5.723185322955981</v>
      </c>
      <c r="P14" s="23">
        <f t="shared" si="5"/>
        <v>57.752142804373989</v>
      </c>
      <c r="Q14" s="9">
        <v>111</v>
      </c>
      <c r="R14" s="9">
        <v>11</v>
      </c>
      <c r="S14" s="26">
        <f t="shared" si="6"/>
        <v>0.9098360655737705</v>
      </c>
      <c r="T14" s="26">
        <f t="shared" si="7"/>
        <v>0.77083333333333337</v>
      </c>
      <c r="U14" s="26">
        <f t="shared" si="8"/>
        <v>2.90456110669176</v>
      </c>
      <c r="V14" s="9"/>
      <c r="W14" s="15"/>
      <c r="X14" s="15"/>
    </row>
    <row r="15" spans="1:25" ht="176" x14ac:dyDescent="0.2">
      <c r="A15" s="16">
        <v>14</v>
      </c>
      <c r="B15" s="15">
        <v>79</v>
      </c>
      <c r="C15" s="15">
        <v>79</v>
      </c>
      <c r="D15" s="14" t="s">
        <v>88</v>
      </c>
      <c r="E15" s="13" t="s">
        <v>89</v>
      </c>
      <c r="F15" s="7" t="s">
        <v>90</v>
      </c>
      <c r="G15" s="7" t="s">
        <v>91</v>
      </c>
      <c r="H15" s="8" t="s">
        <v>92</v>
      </c>
      <c r="I15" s="5" t="s">
        <v>93</v>
      </c>
      <c r="J15" s="21">
        <f t="shared" si="0"/>
        <v>15347</v>
      </c>
      <c r="K15" s="21">
        <f t="shared" si="1"/>
        <v>3.5635734000000001</v>
      </c>
      <c r="L15" s="21">
        <f t="shared" si="2"/>
        <v>0.82462855537190094</v>
      </c>
      <c r="M15" s="15">
        <f>3.38+25</f>
        <v>28.38</v>
      </c>
      <c r="N15" s="15">
        <f t="shared" si="3"/>
        <v>85.14</v>
      </c>
      <c r="O15" s="23">
        <f t="shared" si="4"/>
        <v>23.891748658804108</v>
      </c>
      <c r="P15" s="23">
        <f t="shared" si="5"/>
        <v>103.24648527554632</v>
      </c>
      <c r="Q15" s="9">
        <v>726</v>
      </c>
      <c r="R15" s="9">
        <v>168</v>
      </c>
      <c r="S15" s="26">
        <f t="shared" si="6"/>
        <v>0.81208053691275173</v>
      </c>
      <c r="T15" s="26">
        <f t="shared" si="7"/>
        <v>0.59024390243902436</v>
      </c>
      <c r="U15" s="26">
        <f t="shared" si="8"/>
        <v>3.7932327813803375</v>
      </c>
      <c r="V15" s="9"/>
      <c r="W15" s="15"/>
      <c r="X15" s="15"/>
    </row>
    <row r="16" spans="1:25" ht="174.5" customHeight="1" x14ac:dyDescent="0.2">
      <c r="A16" s="16">
        <v>15</v>
      </c>
      <c r="B16" s="15">
        <v>909</v>
      </c>
      <c r="C16" s="15">
        <v>909</v>
      </c>
      <c r="D16" s="14" t="s">
        <v>94</v>
      </c>
      <c r="E16" s="13" t="s">
        <v>95</v>
      </c>
      <c r="F16" s="7" t="s">
        <v>96</v>
      </c>
      <c r="G16" s="7" t="s">
        <v>97</v>
      </c>
      <c r="H16" s="8" t="s">
        <v>98</v>
      </c>
      <c r="I16" s="5" t="s">
        <v>99</v>
      </c>
      <c r="J16" s="21">
        <f t="shared" si="0"/>
        <v>1986</v>
      </c>
      <c r="K16" s="21">
        <f t="shared" si="1"/>
        <v>0.46114920000000004</v>
      </c>
      <c r="L16" s="21">
        <f t="shared" si="2"/>
        <v>0.14767920000000001</v>
      </c>
      <c r="M16" s="15">
        <f>2.69+31.85</f>
        <v>34.54</v>
      </c>
      <c r="N16" s="15">
        <f t="shared" si="3"/>
        <v>103.62</v>
      </c>
      <c r="O16" s="23">
        <f t="shared" si="4"/>
        <v>224.69951156805649</v>
      </c>
      <c r="P16" s="23">
        <f t="shared" si="5"/>
        <v>701.65602197194994</v>
      </c>
      <c r="Q16" s="9">
        <v>331</v>
      </c>
      <c r="R16" s="9">
        <v>106</v>
      </c>
      <c r="S16" s="26">
        <f t="shared" si="6"/>
        <v>0.75743707093821511</v>
      </c>
      <c r="T16" s="26">
        <f t="shared" si="7"/>
        <v>0.51001540832049308</v>
      </c>
      <c r="U16" s="26">
        <f t="shared" si="8"/>
        <v>4.3899311338739446</v>
      </c>
      <c r="V16" s="9"/>
      <c r="W16" s="15"/>
      <c r="X16" s="15"/>
    </row>
    <row r="17" spans="1:22" x14ac:dyDescent="0.2">
      <c r="A17" s="11" t="s">
        <v>100</v>
      </c>
    </row>
    <row r="18" spans="1:22" ht="15" customHeight="1" x14ac:dyDescent="0.2">
      <c r="N18" s="12" t="s">
        <v>109</v>
      </c>
      <c r="Q18" s="25">
        <f>SUM(Q2:Q16)</f>
        <v>8059</v>
      </c>
      <c r="R18" s="25">
        <f>SUM(R2:R16)</f>
        <v>1957</v>
      </c>
      <c r="S18" s="25"/>
      <c r="T18" s="25"/>
      <c r="U18" s="25"/>
      <c r="V18" s="25"/>
    </row>
    <row r="19" spans="1:22" ht="15" customHeight="1" x14ac:dyDescent="0.2">
      <c r="N19" s="12" t="s">
        <v>110</v>
      </c>
      <c r="Q19" s="12">
        <f>Q18/($Q18+$R18)</f>
        <v>0.80461261980830667</v>
      </c>
      <c r="R19" s="12">
        <f>R18/($Q18+$R18)</f>
        <v>0.1953873801916933</v>
      </c>
    </row>
    <row r="20" spans="1:22" ht="15" customHeight="1" x14ac:dyDescent="0.2">
      <c r="N20" s="12" t="s">
        <v>112</v>
      </c>
      <c r="Q20" s="12">
        <f>$Q19/($Q19 + 3*$R19)</f>
        <v>0.57853553481694187</v>
      </c>
      <c r="R20" s="12">
        <f>3*$R19/($Q19 + 3*$R19)</f>
        <v>0.42146446518305819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2026 OEIS Table 4-3 (MGRA)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2025-05-15T23:32:05Z</dcterms:created>
  <dcterms:modified xsi:type="dcterms:W3CDTF">2025-06-04T01:07:17Z</dcterms:modified>
  <cp:category/>
  <cp:contentStatus/>
</cp:coreProperties>
</file>