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defaultThemeVersion="166925"/>
  <xr:revisionPtr revIDLastSave="0" documentId="13_ncr:1_{26159B37-8797-42FA-BE28-AA8C35117D00}" xr6:coauthVersionLast="46" xr6:coauthVersionMax="46" xr10:uidLastSave="{00000000-0000-0000-0000-000000000000}"/>
  <bookViews>
    <workbookView xWindow="810" yWindow="2062" windowWidth="25012" windowHeight="11558" tabRatio="805" activeTab="13" xr2:uid="{45D822DF-5C0A-499D-8CAF-45903AD0C7F6}"/>
  </bookViews>
  <sheets>
    <sheet name="Quarterly Submission Guide" sheetId="2" r:id="rId1"/>
    <sheet name="Table 1" sheetId="4" r:id="rId2"/>
    <sheet name="Table 2" sheetId="25" r:id="rId3"/>
    <sheet name="Table 3" sheetId="5" r:id="rId4"/>
    <sheet name="Table 4" sheetId="6" r:id="rId5"/>
    <sheet name="Table 5" sheetId="7" r:id="rId6"/>
    <sheet name="Table 6" sheetId="11" r:id="rId7"/>
    <sheet name="Table 7.1" sheetId="22" r:id="rId8"/>
    <sheet name="Table 7.2" sheetId="24" r:id="rId9"/>
    <sheet name="Table 8" sheetId="16" r:id="rId10"/>
    <sheet name="Table 9" sheetId="17" r:id="rId11"/>
    <sheet name="Table 10" sheetId="18" r:id="rId12"/>
    <sheet name="Table 11" sheetId="26" r:id="rId13"/>
    <sheet name="Table 12" sheetId="21" r:id="rId14"/>
  </sheets>
  <externalReferences>
    <externalReference r:id="rId15"/>
  </externalReference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3" hidden="1">'Table 12'!$B$7:$AK$118</definedName>
    <definedName name="_xlnm._FilterDatabase" localSheetId="7" hidden="1">'Table 7.1'!$A$7:$Z$7</definedName>
    <definedName name="Pal_Workbook_GUID" hidden="1">"624RZZG3XBK56HAIEZCH5YLP"</definedName>
    <definedName name="_xlnm.Print_Area" localSheetId="12">'Table 11'!$A$1:$X$32</definedName>
    <definedName name="_xlnm.Print_Area" localSheetId="2">'Table 2'!$A$1:$X$34</definedName>
    <definedName name="_xlnm.Print_Area" localSheetId="3">'Table 3'!$A$1:$AB$27</definedName>
    <definedName name="_xlnm.Print_Area" localSheetId="4">'Table 4'!$A$1:$W$23</definedName>
    <definedName name="_xlnm.Print_Area" localSheetId="6">'Table 6'!$A$1:$X$16</definedName>
    <definedName name="_xlnm.Print_Area" localSheetId="7">'Table 7.1'!$A$1:$Z$150</definedName>
    <definedName name="_xlnm.Print_Area" localSheetId="10">'Table 9'!$A$1:$R$31</definedName>
    <definedName name="_xlnm.Print_Titles" localSheetId="13">'Table 12'!$6:$7</definedName>
    <definedName name="_xlnm.Print_Titles" localSheetId="7">'Table 7.1'!$6:$7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69" i="21" l="1"/>
  <c r="V69" i="21"/>
  <c r="AE88" i="21"/>
  <c r="AE87" i="21"/>
  <c r="AE86" i="21"/>
  <c r="AE85" i="21"/>
  <c r="AE84" i="21"/>
  <c r="AE83" i="21"/>
  <c r="AE82" i="21"/>
  <c r="AE81" i="21"/>
  <c r="AE80" i="21"/>
  <c r="AE79" i="21"/>
  <c r="AE78" i="21"/>
  <c r="AE77" i="21"/>
  <c r="AE76" i="21"/>
  <c r="AE75" i="21"/>
  <c r="AE74" i="21"/>
  <c r="AE73" i="21"/>
  <c r="AE72" i="21"/>
  <c r="AE71" i="21"/>
  <c r="AE70" i="21"/>
  <c r="X69" i="21"/>
  <c r="AC69" i="21"/>
  <c r="AE69" i="21"/>
  <c r="V51" i="21"/>
  <c r="AE68" i="21"/>
  <c r="AE67" i="21"/>
  <c r="AE66" i="21"/>
  <c r="AE65" i="21"/>
  <c r="AE64" i="21"/>
  <c r="AE63" i="21"/>
  <c r="AE62" i="21"/>
  <c r="AE61" i="21"/>
  <c r="AE60" i="21"/>
  <c r="AE59" i="21"/>
  <c r="AE58" i="21"/>
  <c r="AE57" i="21"/>
  <c r="AE56" i="21"/>
  <c r="AE55" i="21"/>
  <c r="AE54" i="21"/>
  <c r="AE53" i="21"/>
  <c r="AE52" i="21"/>
  <c r="AE51" i="21"/>
  <c r="X51" i="21"/>
  <c r="AC51" i="21"/>
  <c r="AC52" i="21"/>
  <c r="AC53" i="21"/>
  <c r="AC54" i="21"/>
  <c r="AC55" i="21"/>
  <c r="AC56" i="21"/>
  <c r="AC57" i="21"/>
  <c r="AC58" i="21"/>
  <c r="X59" i="21"/>
  <c r="AB59" i="21"/>
  <c r="AC59" i="21"/>
  <c r="AC60" i="21"/>
  <c r="AC61" i="21"/>
  <c r="AC62" i="21"/>
  <c r="AC63" i="21"/>
  <c r="X64" i="21"/>
  <c r="AB64" i="21"/>
  <c r="AC64" i="21"/>
  <c r="AC65" i="21"/>
  <c r="AC66" i="21"/>
  <c r="AC67" i="21"/>
  <c r="AC68" i="21"/>
  <c r="AD51" i="21"/>
  <c r="U30" i="21"/>
  <c r="AC30" i="21"/>
  <c r="U31" i="21"/>
  <c r="AC31" i="21"/>
  <c r="AD30" i="21"/>
  <c r="V30" i="21"/>
  <c r="AC23" i="21"/>
  <c r="AC24" i="21"/>
  <c r="AC25" i="21"/>
  <c r="AC26" i="21"/>
  <c r="AC27" i="21"/>
  <c r="AC28" i="21"/>
  <c r="AC29" i="21"/>
  <c r="AC32" i="21"/>
  <c r="X33" i="21"/>
  <c r="AB33" i="21"/>
  <c r="AC33" i="21"/>
  <c r="AC34" i="21"/>
  <c r="AB35" i="21"/>
  <c r="AC35" i="21"/>
  <c r="AC36" i="21"/>
  <c r="AC37" i="21"/>
  <c r="AC38" i="21"/>
  <c r="AC39" i="21"/>
  <c r="AC40" i="21"/>
  <c r="AC41" i="21"/>
  <c r="X42" i="21"/>
  <c r="AC42" i="21"/>
  <c r="AC43" i="21"/>
  <c r="AC44" i="21"/>
  <c r="AC45" i="21"/>
  <c r="AC46" i="21"/>
  <c r="AC47" i="21"/>
  <c r="AC48" i="21"/>
  <c r="AC49" i="21"/>
  <c r="AC50" i="21"/>
  <c r="AD23" i="21"/>
  <c r="U118" i="21"/>
  <c r="U117" i="21"/>
  <c r="U116" i="21"/>
  <c r="U115" i="21"/>
  <c r="U114" i="21"/>
  <c r="U113" i="21"/>
  <c r="U112" i="21"/>
  <c r="U111" i="21"/>
  <c r="U110" i="21"/>
  <c r="U109" i="21"/>
  <c r="U108" i="21"/>
  <c r="U107" i="21"/>
  <c r="U106" i="21"/>
  <c r="U105" i="21"/>
  <c r="U104" i="21"/>
  <c r="U103" i="21"/>
  <c r="U102" i="21"/>
  <c r="U101" i="21"/>
  <c r="U100" i="21"/>
  <c r="U99" i="21"/>
  <c r="U98" i="21"/>
  <c r="U97" i="21"/>
  <c r="U96" i="21"/>
  <c r="U95" i="21"/>
  <c r="U94" i="21"/>
  <c r="U93" i="21"/>
  <c r="U92" i="21"/>
  <c r="U91" i="21"/>
  <c r="U90" i="21"/>
  <c r="U89" i="21"/>
  <c r="U88" i="21"/>
  <c r="U87" i="21"/>
  <c r="U86" i="21"/>
  <c r="U85" i="21"/>
  <c r="U84" i="21"/>
  <c r="U83" i="21"/>
  <c r="U82" i="21"/>
  <c r="U81" i="21"/>
  <c r="U80" i="21"/>
  <c r="U79" i="21"/>
  <c r="U78" i="21"/>
  <c r="U77" i="21"/>
  <c r="U76" i="21"/>
  <c r="U75" i="21"/>
  <c r="U74" i="21"/>
  <c r="U73" i="21"/>
  <c r="U72" i="21"/>
  <c r="U71" i="21"/>
  <c r="U70" i="21"/>
  <c r="U69" i="21"/>
  <c r="U68" i="21"/>
  <c r="U67" i="21"/>
  <c r="U66" i="21"/>
  <c r="U65" i="21"/>
  <c r="U64" i="21"/>
  <c r="U63" i="21"/>
  <c r="U62" i="21"/>
  <c r="U61" i="21"/>
  <c r="U60" i="21"/>
  <c r="U59" i="21"/>
  <c r="U58" i="21"/>
  <c r="U57" i="21"/>
  <c r="U56" i="21"/>
  <c r="U55" i="21"/>
  <c r="U54" i="21"/>
  <c r="U53" i="21"/>
  <c r="U52" i="21"/>
  <c r="U51" i="21"/>
  <c r="U50" i="21"/>
  <c r="U49" i="21"/>
  <c r="U48" i="21"/>
  <c r="U47" i="21"/>
  <c r="U46" i="21"/>
  <c r="U45" i="21"/>
  <c r="U44" i="21"/>
  <c r="U43" i="21"/>
  <c r="U42" i="21"/>
  <c r="U41" i="21"/>
  <c r="U40" i="21"/>
  <c r="U39" i="21"/>
  <c r="U38" i="21"/>
  <c r="U37" i="21"/>
  <c r="U36" i="21"/>
  <c r="U35" i="21"/>
  <c r="U34" i="21"/>
  <c r="U33" i="21"/>
  <c r="U32" i="21"/>
  <c r="U29" i="21"/>
  <c r="U28" i="21"/>
  <c r="U27" i="21"/>
  <c r="U26" i="21"/>
  <c r="U25" i="21"/>
  <c r="U24" i="21"/>
  <c r="U23" i="21"/>
  <c r="U16" i="21"/>
  <c r="AC118" i="21"/>
  <c r="AC117" i="21"/>
  <c r="AC116" i="21"/>
  <c r="AC115" i="21"/>
  <c r="AB114" i="21"/>
  <c r="AC114" i="21"/>
  <c r="AC113" i="21"/>
  <c r="AC112" i="21"/>
  <c r="AC111" i="21"/>
  <c r="AC110" i="21"/>
  <c r="AC109" i="21"/>
  <c r="AC108" i="21"/>
  <c r="AC107" i="21"/>
  <c r="AC106" i="21"/>
  <c r="AC105" i="21"/>
  <c r="AB104" i="21"/>
  <c r="AC104" i="21"/>
  <c r="AC103" i="21"/>
  <c r="AC102" i="21"/>
  <c r="AC101" i="21"/>
  <c r="AC100" i="21"/>
  <c r="AC99" i="21"/>
  <c r="AC98" i="21"/>
  <c r="AC97" i="21"/>
  <c r="AC96" i="21"/>
  <c r="AC95" i="21"/>
  <c r="AC94" i="21"/>
  <c r="AC93" i="21"/>
  <c r="AC92" i="21"/>
  <c r="AC91" i="21"/>
  <c r="AC90" i="21"/>
  <c r="AC89" i="21"/>
  <c r="AC88" i="21"/>
  <c r="AC87" i="21"/>
  <c r="AC86" i="21"/>
  <c r="AC85" i="21"/>
  <c r="AC84" i="21"/>
  <c r="AC83" i="21"/>
  <c r="AC82" i="21"/>
  <c r="AC81" i="21"/>
  <c r="AC80" i="21"/>
  <c r="AC79" i="21"/>
  <c r="AC78" i="21"/>
  <c r="AC77" i="21"/>
  <c r="AC76" i="21"/>
  <c r="AC75" i="21"/>
  <c r="AC74" i="21"/>
  <c r="AC73" i="21"/>
  <c r="AC72" i="21"/>
  <c r="AC71" i="21"/>
  <c r="AC70" i="21"/>
  <c r="AC22" i="21"/>
  <c r="AC21" i="21"/>
  <c r="AC20" i="21"/>
  <c r="AC19" i="21"/>
  <c r="AC18" i="21"/>
  <c r="W17" i="21"/>
  <c r="AC17" i="21"/>
  <c r="AC16" i="21"/>
  <c r="AC15" i="21"/>
  <c r="AC14" i="21"/>
  <c r="AC13" i="21"/>
  <c r="AC12" i="21"/>
  <c r="AC11" i="21"/>
  <c r="AC10" i="21"/>
  <c r="AC9" i="21"/>
  <c r="AC8" i="21"/>
  <c r="AC56" i="16"/>
  <c r="AB56" i="16"/>
  <c r="AA56" i="16"/>
  <c r="Z56" i="16"/>
  <c r="Y56" i="16"/>
  <c r="N12" i="11"/>
  <c r="N29" i="26"/>
  <c r="N28" i="26"/>
  <c r="N27" i="26"/>
  <c r="N26" i="26"/>
  <c r="N25" i="26"/>
  <c r="N24" i="26"/>
  <c r="N23" i="26"/>
  <c r="N22" i="26"/>
  <c r="N21" i="26"/>
  <c r="N20" i="26"/>
  <c r="N19" i="26"/>
  <c r="N18" i="26"/>
  <c r="N17" i="26"/>
  <c r="N16" i="26"/>
  <c r="N15" i="26"/>
  <c r="N14" i="26"/>
  <c r="N13" i="26"/>
  <c r="N12" i="26"/>
  <c r="N11" i="26"/>
  <c r="N10" i="26"/>
  <c r="N9" i="26"/>
  <c r="N8" i="26"/>
  <c r="AJ61" i="24"/>
  <c r="AI61" i="24"/>
  <c r="AH61" i="24"/>
  <c r="AG61" i="24"/>
  <c r="AF61" i="24"/>
  <c r="AE61" i="24"/>
  <c r="AD61" i="24"/>
  <c r="AC61" i="24"/>
  <c r="AB61" i="24"/>
  <c r="AA61" i="24"/>
  <c r="Z61" i="24"/>
  <c r="Y61" i="24"/>
  <c r="X61" i="24"/>
  <c r="W61" i="24"/>
  <c r="V61" i="24"/>
  <c r="U61" i="24"/>
  <c r="T61" i="24"/>
  <c r="S61" i="24"/>
  <c r="R61" i="24"/>
  <c r="Q61" i="24"/>
  <c r="P61" i="24"/>
  <c r="O61" i="24"/>
  <c r="N61" i="24"/>
  <c r="M61" i="24"/>
  <c r="L61" i="24"/>
  <c r="K61" i="24"/>
  <c r="J61" i="24"/>
  <c r="I61" i="24"/>
  <c r="H61" i="24"/>
  <c r="G61" i="24"/>
  <c r="AJ60" i="24"/>
  <c r="AJ59" i="24"/>
  <c r="AJ58" i="24"/>
  <c r="AJ57" i="24"/>
  <c r="AJ56" i="24"/>
  <c r="AJ55" i="24"/>
  <c r="AJ54" i="24"/>
  <c r="AJ53" i="24"/>
  <c r="AJ52" i="24"/>
  <c r="AJ51" i="24"/>
  <c r="AJ50" i="24"/>
  <c r="AJ49" i="24"/>
  <c r="AJ48" i="24"/>
  <c r="AJ47" i="24"/>
  <c r="AJ46" i="24"/>
  <c r="AJ45" i="24"/>
  <c r="AJ44" i="24"/>
  <c r="AJ43" i="24"/>
  <c r="AJ42" i="24"/>
  <c r="AJ41" i="24"/>
  <c r="AJ40" i="24"/>
  <c r="AJ39" i="24"/>
  <c r="AJ38" i="24"/>
  <c r="AJ37" i="24"/>
  <c r="AJ36" i="24"/>
  <c r="AJ35" i="24"/>
  <c r="AJ34" i="24"/>
  <c r="AJ33" i="24"/>
  <c r="AJ32" i="24"/>
  <c r="AJ31" i="24"/>
  <c r="AJ30" i="24"/>
  <c r="AJ29" i="24"/>
  <c r="AJ28" i="24"/>
  <c r="AJ27" i="24"/>
  <c r="AJ26" i="24"/>
  <c r="AJ25" i="24"/>
  <c r="AJ24" i="24"/>
  <c r="AJ23" i="24"/>
  <c r="AJ22" i="24"/>
  <c r="AJ21" i="24"/>
  <c r="AJ20" i="24"/>
  <c r="AJ19" i="24"/>
  <c r="AJ18" i="24"/>
  <c r="AJ17" i="24"/>
  <c r="AJ16" i="24"/>
  <c r="AJ15" i="24"/>
  <c r="AJ14" i="24"/>
  <c r="AJ13" i="24"/>
  <c r="AJ12" i="24"/>
  <c r="AJ11" i="24"/>
  <c r="AJ10" i="24"/>
  <c r="AJ9" i="24"/>
  <c r="AJ8" i="24"/>
  <c r="AE60" i="24"/>
  <c r="AE59" i="24"/>
  <c r="AE58" i="24"/>
  <c r="AE57" i="24"/>
  <c r="AE56" i="24"/>
  <c r="AE55" i="24"/>
  <c r="AE54" i="24"/>
  <c r="AE53" i="24"/>
  <c r="AE52" i="24"/>
  <c r="AE51" i="24"/>
  <c r="AE50" i="24"/>
  <c r="AE49" i="24"/>
  <c r="AE48" i="24"/>
  <c r="AE47" i="24"/>
  <c r="AE46" i="24"/>
  <c r="AE45" i="24"/>
  <c r="AE44" i="24"/>
  <c r="AE43" i="24"/>
  <c r="AE42" i="24"/>
  <c r="AE41" i="24"/>
  <c r="AE40" i="24"/>
  <c r="AE39" i="24"/>
  <c r="AE38" i="24"/>
  <c r="AE37" i="24"/>
  <c r="AE36" i="24"/>
  <c r="AE35" i="24"/>
  <c r="AE34" i="24"/>
  <c r="AE33" i="24"/>
  <c r="AE32" i="24"/>
  <c r="AE31" i="24"/>
  <c r="AE30" i="24"/>
  <c r="AE29" i="24"/>
  <c r="AE28" i="24"/>
  <c r="AE27" i="24"/>
  <c r="AE26" i="24"/>
  <c r="AE25" i="24"/>
  <c r="AE24" i="24"/>
  <c r="AE23" i="24"/>
  <c r="AE22" i="24"/>
  <c r="AE21" i="24"/>
  <c r="AE20" i="24"/>
  <c r="AE19" i="24"/>
  <c r="AE18" i="24"/>
  <c r="AE17" i="24"/>
  <c r="AE16" i="24"/>
  <c r="AE15" i="24"/>
  <c r="AE14" i="24"/>
  <c r="AE13" i="24"/>
  <c r="AE12" i="24"/>
  <c r="AE11" i="24"/>
  <c r="AE10" i="24"/>
  <c r="AE9" i="24"/>
  <c r="AE8" i="24"/>
  <c r="Z60" i="24"/>
  <c r="Z59" i="24"/>
  <c r="Z58" i="24"/>
  <c r="Z57" i="24"/>
  <c r="Z56" i="24"/>
  <c r="Z55" i="24"/>
  <c r="Z54" i="24"/>
  <c r="Z53" i="24"/>
  <c r="Z52" i="24"/>
  <c r="Z51" i="24"/>
  <c r="Z50" i="24"/>
  <c r="Z49" i="24"/>
  <c r="Z48" i="24"/>
  <c r="Z47" i="24"/>
  <c r="Z46" i="24"/>
  <c r="Z45" i="24"/>
  <c r="Z44" i="24"/>
  <c r="Z43" i="24"/>
  <c r="Z42" i="24"/>
  <c r="Z41" i="24"/>
  <c r="Z40" i="24"/>
  <c r="Z39" i="24"/>
  <c r="Z38" i="24"/>
  <c r="Z37" i="24"/>
  <c r="Z36" i="24"/>
  <c r="Z35" i="24"/>
  <c r="Z34" i="24"/>
  <c r="Z33" i="24"/>
  <c r="Z32" i="24"/>
  <c r="Z31" i="24"/>
  <c r="Z30" i="24"/>
  <c r="Z29" i="24"/>
  <c r="Z28" i="24"/>
  <c r="Z27" i="24"/>
  <c r="Z26" i="24"/>
  <c r="Z25" i="24"/>
  <c r="Z24" i="24"/>
  <c r="Z23" i="24"/>
  <c r="Z22" i="24"/>
  <c r="Z21" i="24"/>
  <c r="Z20" i="24"/>
  <c r="Z19" i="24"/>
  <c r="Z18" i="24"/>
  <c r="Z17" i="24"/>
  <c r="Z16" i="24"/>
  <c r="Z15" i="24"/>
  <c r="Z14" i="24"/>
  <c r="Z13" i="24"/>
  <c r="Z12" i="24"/>
  <c r="Z11" i="24"/>
  <c r="Z10" i="24"/>
  <c r="Z9" i="24"/>
  <c r="Z8" i="24"/>
  <c r="U60" i="24"/>
  <c r="U59" i="24"/>
  <c r="U58" i="24"/>
  <c r="U57" i="24"/>
  <c r="U56" i="24"/>
  <c r="U55" i="24"/>
  <c r="U54" i="24"/>
  <c r="U53" i="24"/>
  <c r="U52" i="24"/>
  <c r="U51" i="24"/>
  <c r="U50" i="24"/>
  <c r="U49" i="24"/>
  <c r="U48" i="24"/>
  <c r="U47" i="24"/>
  <c r="U46" i="24"/>
  <c r="U45" i="24"/>
  <c r="U44" i="24"/>
  <c r="U43" i="24"/>
  <c r="U42" i="24"/>
  <c r="U41" i="24"/>
  <c r="U40" i="24"/>
  <c r="U39" i="24"/>
  <c r="U38" i="24"/>
  <c r="U37" i="24"/>
  <c r="U36" i="24"/>
  <c r="U35" i="24"/>
  <c r="U34" i="24"/>
  <c r="U33" i="24"/>
  <c r="U32" i="24"/>
  <c r="U31" i="24"/>
  <c r="U30" i="24"/>
  <c r="U29" i="24"/>
  <c r="U28" i="24"/>
  <c r="U27" i="24"/>
  <c r="U26" i="24"/>
  <c r="U25" i="24"/>
  <c r="U24" i="24"/>
  <c r="U23" i="24"/>
  <c r="U22" i="24"/>
  <c r="U21" i="24"/>
  <c r="U20" i="24"/>
  <c r="U19" i="24"/>
  <c r="U18" i="24"/>
  <c r="U17" i="24"/>
  <c r="U16" i="24"/>
  <c r="U15" i="24"/>
  <c r="U14" i="24"/>
  <c r="U13" i="24"/>
  <c r="U12" i="24"/>
  <c r="U11" i="24"/>
  <c r="U10" i="24"/>
  <c r="U9" i="24"/>
  <c r="U8" i="24"/>
  <c r="P60" i="24"/>
  <c r="P59" i="24"/>
  <c r="P58" i="24"/>
  <c r="P57" i="24"/>
  <c r="P56" i="24"/>
  <c r="P55" i="24"/>
  <c r="P54" i="24"/>
  <c r="P53" i="24"/>
  <c r="P52" i="24"/>
  <c r="P51" i="24"/>
  <c r="P50" i="24"/>
  <c r="P49" i="24"/>
  <c r="P48" i="24"/>
  <c r="P47" i="24"/>
  <c r="P46" i="24"/>
  <c r="P45" i="24"/>
  <c r="P44" i="24"/>
  <c r="P43" i="24"/>
  <c r="P42" i="24"/>
  <c r="P41" i="24"/>
  <c r="P40" i="24"/>
  <c r="P39" i="24"/>
  <c r="P38" i="24"/>
  <c r="P37" i="24"/>
  <c r="P36" i="24"/>
  <c r="P35" i="24"/>
  <c r="P34" i="24"/>
  <c r="P33" i="24"/>
  <c r="P32" i="24"/>
  <c r="P31" i="24"/>
  <c r="P30" i="24"/>
  <c r="P29" i="24"/>
  <c r="P28" i="24"/>
  <c r="P27" i="24"/>
  <c r="P26" i="24"/>
  <c r="P25" i="24"/>
  <c r="P24" i="24"/>
  <c r="P23" i="24"/>
  <c r="P22" i="24"/>
  <c r="P21" i="24"/>
  <c r="P20" i="24"/>
  <c r="P19" i="24"/>
  <c r="P18" i="24"/>
  <c r="P17" i="24"/>
  <c r="P16" i="24"/>
  <c r="P15" i="24"/>
  <c r="P14" i="24"/>
  <c r="P13" i="24"/>
  <c r="P12" i="24"/>
  <c r="P11" i="24"/>
  <c r="P10" i="24"/>
  <c r="P9" i="24"/>
  <c r="P8" i="24"/>
  <c r="K60" i="24"/>
  <c r="K59" i="24"/>
  <c r="K58" i="24"/>
  <c r="K57" i="24"/>
  <c r="K56" i="24"/>
  <c r="K55" i="24"/>
  <c r="K54" i="24"/>
  <c r="K53" i="24"/>
  <c r="K52" i="24"/>
  <c r="K51" i="24"/>
  <c r="K50" i="24"/>
  <c r="K49" i="24"/>
  <c r="K48" i="24"/>
  <c r="K47" i="24"/>
  <c r="K46" i="24"/>
  <c r="K45" i="24"/>
  <c r="K44" i="24"/>
  <c r="K43" i="24"/>
  <c r="K42" i="24"/>
  <c r="K41" i="24"/>
  <c r="K40" i="24"/>
  <c r="K39" i="24"/>
  <c r="K38" i="24"/>
  <c r="K37" i="24"/>
  <c r="K36" i="24"/>
  <c r="K35" i="24"/>
  <c r="K34" i="24"/>
  <c r="K33" i="24"/>
  <c r="K32" i="24"/>
  <c r="K31" i="24"/>
  <c r="K30" i="24"/>
  <c r="K29" i="24"/>
  <c r="K28" i="24"/>
  <c r="K27" i="24"/>
  <c r="K26" i="24"/>
  <c r="K25" i="24"/>
  <c r="K24" i="24"/>
  <c r="K23" i="24"/>
  <c r="K22" i="24"/>
  <c r="K21" i="24"/>
  <c r="K20" i="24"/>
  <c r="K19" i="24"/>
  <c r="K18" i="24"/>
  <c r="K17" i="24"/>
  <c r="K16" i="24"/>
  <c r="K15" i="24"/>
  <c r="K14" i="24"/>
  <c r="K13" i="24"/>
  <c r="K12" i="24"/>
  <c r="K11" i="24"/>
  <c r="K10" i="24"/>
  <c r="K9" i="24"/>
  <c r="K8" i="24"/>
  <c r="P151" i="22"/>
  <c r="O151" i="22"/>
  <c r="N151" i="22"/>
  <c r="M151" i="22"/>
  <c r="L151" i="22"/>
  <c r="K151" i="22"/>
  <c r="J151" i="22"/>
  <c r="I151" i="22"/>
  <c r="H151" i="22"/>
  <c r="G151" i="22"/>
  <c r="P150" i="22"/>
  <c r="P149" i="22"/>
  <c r="P148" i="22"/>
  <c r="P147" i="22"/>
  <c r="P146" i="22"/>
  <c r="P145" i="22"/>
  <c r="P144" i="22"/>
  <c r="P143" i="22"/>
  <c r="P142" i="22"/>
  <c r="P141" i="22"/>
  <c r="P140" i="22"/>
  <c r="P139" i="22"/>
  <c r="P138" i="22"/>
  <c r="P137" i="22"/>
  <c r="P136" i="22"/>
  <c r="P135" i="22"/>
  <c r="P134" i="22"/>
  <c r="P133" i="22"/>
  <c r="P132" i="22"/>
  <c r="P131" i="22"/>
  <c r="P130" i="22"/>
  <c r="P129" i="22"/>
  <c r="P128" i="22"/>
  <c r="P127" i="22"/>
  <c r="P126" i="22"/>
  <c r="P125" i="22"/>
  <c r="P124" i="22"/>
  <c r="P123" i="22"/>
  <c r="P122" i="22"/>
  <c r="P121" i="22"/>
  <c r="P120" i="22"/>
  <c r="P119" i="22"/>
  <c r="P118" i="22"/>
  <c r="P117" i="22"/>
  <c r="P116" i="22"/>
  <c r="P115" i="22"/>
  <c r="P114" i="22"/>
  <c r="P113" i="22"/>
  <c r="P112" i="22"/>
  <c r="P111" i="22"/>
  <c r="P110" i="22"/>
  <c r="P109" i="22"/>
  <c r="P108" i="22"/>
  <c r="P107" i="22"/>
  <c r="P106" i="22"/>
  <c r="P105" i="22"/>
  <c r="P104" i="22"/>
  <c r="P103" i="22"/>
  <c r="P102" i="22"/>
  <c r="P101" i="22"/>
  <c r="P100" i="22"/>
  <c r="P99" i="22"/>
  <c r="P98" i="22"/>
  <c r="P97" i="22"/>
  <c r="P96" i="22"/>
  <c r="P95" i="22"/>
  <c r="P94" i="22"/>
  <c r="P93" i="22"/>
  <c r="P92" i="22"/>
  <c r="P91" i="22"/>
  <c r="P90" i="22"/>
  <c r="P89" i="22"/>
  <c r="P88" i="22"/>
  <c r="P87" i="22"/>
  <c r="P86" i="22"/>
  <c r="P85" i="22"/>
  <c r="P84" i="22"/>
  <c r="P83" i="22"/>
  <c r="P82" i="22"/>
  <c r="P81" i="22"/>
  <c r="P80" i="22"/>
  <c r="P79" i="22"/>
  <c r="P78" i="22"/>
  <c r="P77" i="22"/>
  <c r="P76" i="22"/>
  <c r="P75" i="22"/>
  <c r="P74" i="22"/>
  <c r="P73" i="22"/>
  <c r="P72" i="22"/>
  <c r="P71" i="22"/>
  <c r="P70" i="22"/>
  <c r="P69" i="22"/>
  <c r="P68" i="22"/>
  <c r="P67" i="22"/>
  <c r="P66" i="22"/>
  <c r="P65" i="22"/>
  <c r="P64" i="22"/>
  <c r="P63" i="22"/>
  <c r="P62" i="22"/>
  <c r="P61" i="22"/>
  <c r="P60" i="22"/>
  <c r="P59" i="22"/>
  <c r="P58" i="22"/>
  <c r="P57" i="22"/>
  <c r="P56" i="22"/>
  <c r="P55" i="22"/>
  <c r="P54" i="22"/>
  <c r="P53" i="22"/>
  <c r="P52" i="22"/>
  <c r="P51" i="22"/>
  <c r="P50" i="22"/>
  <c r="P49" i="22"/>
  <c r="P48" i="22"/>
  <c r="P47" i="22"/>
  <c r="P46" i="22"/>
  <c r="P45" i="22"/>
  <c r="P44" i="22"/>
  <c r="P43" i="22"/>
  <c r="P42" i="22"/>
  <c r="P41" i="22"/>
  <c r="P40" i="22"/>
  <c r="P39" i="22"/>
  <c r="P38" i="22"/>
  <c r="P37" i="22"/>
  <c r="P36" i="22"/>
  <c r="P35" i="22"/>
  <c r="P34" i="22"/>
  <c r="P33" i="22"/>
  <c r="P32" i="22"/>
  <c r="P31" i="22"/>
  <c r="P30" i="22"/>
  <c r="P29" i="22"/>
  <c r="P28" i="22"/>
  <c r="P27" i="22"/>
  <c r="P26" i="22"/>
  <c r="P25" i="22"/>
  <c r="P24" i="22"/>
  <c r="P23" i="22"/>
  <c r="P22" i="22"/>
  <c r="P21" i="22"/>
  <c r="P20" i="22"/>
  <c r="P19" i="22"/>
  <c r="P18" i="22"/>
  <c r="P17" i="22"/>
  <c r="P16" i="22"/>
  <c r="P15" i="22"/>
  <c r="P14" i="22"/>
  <c r="P13" i="22"/>
  <c r="P12" i="22"/>
  <c r="P11" i="22"/>
  <c r="P10" i="22"/>
  <c r="P9" i="22"/>
  <c r="P8" i="22"/>
  <c r="N13" i="11"/>
  <c r="N11" i="11"/>
  <c r="N10" i="11"/>
  <c r="N9" i="11"/>
  <c r="N8" i="11"/>
  <c r="R25" i="5"/>
  <c r="R24" i="5"/>
  <c r="R23" i="5"/>
  <c r="R22" i="5"/>
  <c r="R21" i="5"/>
  <c r="R20" i="5"/>
  <c r="R19" i="5"/>
  <c r="R18" i="5"/>
  <c r="R17" i="5"/>
  <c r="R16" i="5"/>
  <c r="R15" i="5"/>
  <c r="R14" i="5"/>
  <c r="R13" i="5"/>
  <c r="R12" i="5"/>
  <c r="R11" i="5"/>
  <c r="R10" i="5"/>
  <c r="R9" i="5"/>
  <c r="R8" i="5"/>
  <c r="N33" i="25"/>
  <c r="N32" i="25"/>
  <c r="N31" i="25"/>
  <c r="N30" i="25"/>
  <c r="N29" i="25"/>
  <c r="N28" i="25"/>
  <c r="N27" i="25"/>
  <c r="N26" i="25"/>
  <c r="N25" i="25"/>
  <c r="N24" i="25"/>
  <c r="N23" i="25"/>
  <c r="N22" i="25"/>
  <c r="N21" i="25"/>
  <c r="N20" i="25"/>
  <c r="N19" i="25"/>
  <c r="N18" i="25"/>
  <c r="N17" i="25"/>
  <c r="N16" i="25"/>
  <c r="N15" i="25"/>
  <c r="N14" i="25"/>
  <c r="N13" i="25"/>
  <c r="N12" i="25"/>
  <c r="N11" i="25"/>
  <c r="N10" i="25"/>
  <c r="N9" i="25"/>
  <c r="N8" i="25"/>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R20" i="26"/>
  <c r="G23" i="26"/>
  <c r="R21" i="26"/>
  <c r="Q19" i="26"/>
  <c r="R17" i="26"/>
  <c r="H23" i="26"/>
  <c r="I23" i="26"/>
  <c r="L23" i="26"/>
  <c r="M19" i="26"/>
  <c r="M23" i="26"/>
  <c r="Q21" i="26"/>
  <c r="Q20" i="26"/>
  <c r="M18" i="26"/>
  <c r="M22" i="26"/>
  <c r="M9" i="26"/>
  <c r="H22" i="26"/>
  <c r="I22" i="26"/>
  <c r="L22" i="26"/>
  <c r="G22" i="26"/>
  <c r="AC9" i="16"/>
  <c r="AC10" i="16"/>
  <c r="AC11" i="16"/>
  <c r="AC12" i="16"/>
  <c r="AC13" i="16"/>
  <c r="AC14" i="16"/>
  <c r="AC15" i="16"/>
  <c r="AC16" i="16"/>
  <c r="AC17" i="16"/>
  <c r="AC18" i="16"/>
  <c r="AC19" i="16"/>
  <c r="AC20" i="16"/>
  <c r="AC21" i="16"/>
  <c r="AC22" i="16"/>
  <c r="AC23" i="16"/>
  <c r="AC24" i="16"/>
  <c r="AC25" i="16"/>
  <c r="AC26" i="16"/>
  <c r="AC27" i="16"/>
  <c r="AC28" i="16"/>
  <c r="AC29" i="16"/>
  <c r="AC30" i="16"/>
  <c r="AC31" i="16"/>
  <c r="AC32" i="16"/>
  <c r="AC33" i="16"/>
  <c r="AC34" i="16"/>
  <c r="AC35" i="16"/>
  <c r="AC36" i="16"/>
  <c r="AC37" i="16"/>
  <c r="AC38" i="16"/>
  <c r="AC39" i="16"/>
  <c r="AC40" i="16"/>
  <c r="AC41" i="16"/>
  <c r="AC42" i="16"/>
  <c r="AC43" i="16"/>
  <c r="AC44" i="16"/>
  <c r="AC45" i="16"/>
  <c r="AC46" i="16"/>
  <c r="AC47" i="16"/>
  <c r="AC48" i="16"/>
  <c r="AC49" i="16"/>
  <c r="AC50" i="16"/>
  <c r="AC51" i="16"/>
  <c r="AC52" i="16"/>
  <c r="AC53" i="16"/>
  <c r="AC54" i="16"/>
  <c r="AC55" i="16"/>
  <c r="AC8" i="16"/>
  <c r="I9" i="26"/>
  <c r="H9" i="26"/>
  <c r="G9" i="26"/>
  <c r="AI35" i="21"/>
  <c r="AI114" i="21"/>
  <c r="F27" i="25"/>
  <c r="G27" i="25"/>
  <c r="H27" i="25"/>
  <c r="I27" i="25"/>
  <c r="J27" i="25"/>
  <c r="K27" i="25"/>
  <c r="L27" i="25"/>
  <c r="M27" i="25"/>
  <c r="E27" i="25"/>
  <c r="AI104" i="21"/>
  <c r="AI64" i="21"/>
  <c r="AI59" i="21"/>
  <c r="AI33" i="21"/>
  <c r="C2" i="26"/>
  <c r="M59" i="4"/>
  <c r="L59" i="4"/>
  <c r="K59" i="4"/>
  <c r="J59" i="4"/>
  <c r="I59" i="4"/>
  <c r="H59" i="4"/>
  <c r="G59" i="4"/>
  <c r="F59" i="4"/>
  <c r="E59" i="4"/>
  <c r="M57" i="4"/>
  <c r="L57" i="4"/>
  <c r="K57" i="4"/>
  <c r="J57" i="4"/>
  <c r="I56" i="4"/>
  <c r="I57" i="4"/>
  <c r="H56" i="4"/>
  <c r="H57" i="4"/>
  <c r="G56" i="4"/>
  <c r="G57" i="4"/>
  <c r="F56" i="4"/>
  <c r="F57" i="4"/>
  <c r="E56" i="4"/>
  <c r="E57" i="4"/>
  <c r="D24" i="2"/>
  <c r="C2" i="25"/>
  <c r="C2" i="24"/>
  <c r="C2" i="22"/>
  <c r="C2" i="18"/>
  <c r="C2" i="17"/>
  <c r="C2" i="16"/>
  <c r="C2" i="11"/>
  <c r="C2" i="7"/>
  <c r="C2" i="6"/>
  <c r="E2" i="5"/>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2" i="4"/>
</calcChain>
</file>

<file path=xl/sharedStrings.xml><?xml version="1.0" encoding="utf-8"?>
<sst xmlns="http://schemas.openxmlformats.org/spreadsheetml/2006/main" count="3314" uniqueCount="1116">
  <si>
    <t>Utility</t>
  </si>
  <si>
    <t>Notes:</t>
  </si>
  <si>
    <t>Table No.</t>
  </si>
  <si>
    <t>Transmission lines refer to all lines at or above 65kV, and distribution lines refer to all lines below 65kV.</t>
  </si>
  <si>
    <t>Date Modified</t>
  </si>
  <si>
    <t>Note: These columns are placeholders for future QR submissions.</t>
  </si>
  <si>
    <t>Table 1: Recent performance on progress metrics</t>
  </si>
  <si>
    <t>Metric type</t>
  </si>
  <si>
    <t>#</t>
  </si>
  <si>
    <t>Progress metric name</t>
  </si>
  <si>
    <t>Unit(s)</t>
  </si>
  <si>
    <t>Comments</t>
  </si>
  <si>
    <t>1. Grid condition findings from inspection - Distribution lines in HFTD</t>
  </si>
  <si>
    <t>1.a.</t>
  </si>
  <si>
    <t>Number of circuit miles inspected from patrol inspections in HFTD - Distribution lines</t>
  </si>
  <si>
    <t># circuit miles</t>
  </si>
  <si>
    <t>1.b.</t>
  </si>
  <si>
    <t>Number of circuit miles inspected from detailed inspections in HFTD - Distribution lines</t>
  </si>
  <si>
    <t>1.c.</t>
  </si>
  <si>
    <t>Number of circuit miles inspected from other inspections (list types of "other" inspections in comments) in HFTD - Distribution lines</t>
  </si>
  <si>
    <t>1.d.</t>
  </si>
  <si>
    <t>Level 1 findings in HFTD for patrol inspections - Distribution lines</t>
  </si>
  <si>
    <t># findings</t>
  </si>
  <si>
    <t>1.e.</t>
  </si>
  <si>
    <t>Level 1 findings in HFTD for detailed inspections - Distribution lines</t>
  </si>
  <si>
    <t>1.f.</t>
  </si>
  <si>
    <t>Level 1 findings in HFTD for other inspections (list types of "other" inspections in comments) - Distribution lines</t>
  </si>
  <si>
    <t>1.g.</t>
  </si>
  <si>
    <t>Level 2 findings in HFTD for patrol inspections - Distribution lines</t>
  </si>
  <si>
    <t>1.h.</t>
  </si>
  <si>
    <t>Level 2 findings in HFTD for detailed inspections - Distribution lines</t>
  </si>
  <si>
    <t>1.i.</t>
  </si>
  <si>
    <t>Level 2 findings in HFTD for other inspections (list types of "other" inspections in comments) - Distribution lines</t>
  </si>
  <si>
    <t>1.j.</t>
  </si>
  <si>
    <t>Level 3 findings in HFTD for patrol inspections - Distribution lines</t>
  </si>
  <si>
    <t>N/A</t>
  </si>
  <si>
    <t>1.k.</t>
  </si>
  <si>
    <t>Level 3 findings in HFTD for detailed inspections - Distribution lines</t>
  </si>
  <si>
    <t>1.l.</t>
  </si>
  <si>
    <t>Level 3 findings in HFTD for other inspections (list types of "other" inspections in comments) - Distribution lines</t>
  </si>
  <si>
    <t>1. Grid condition findings from inspection - Distribution lines total</t>
  </si>
  <si>
    <t>Number of total circuit miles inspected from patrol inspections - Distribution lines</t>
  </si>
  <si>
    <t>Number of total circuit miles inspected from detailed inspections - Distribution lines</t>
  </si>
  <si>
    <t>Number of total circuit miles inspected from other inspections (list types of "other" inspections in comments) - Distribution lines</t>
  </si>
  <si>
    <t>Level 1 findings for patrol inspections - Distribution lines</t>
  </si>
  <si>
    <t>Level 1 findings for detailed inspections - Distribution lines</t>
  </si>
  <si>
    <t>Level 1 findings for other inspections (list types of "other" inspections in comments) - Distribution lines</t>
  </si>
  <si>
    <t>Level 2 findings for patrol inspections - Distribution lines</t>
  </si>
  <si>
    <t>Level 2 findings for detailed inspections - Distribution lines</t>
  </si>
  <si>
    <t>Level 2 findings for other inspections (list types of "other" inspections in comments) - Distribution lines</t>
  </si>
  <si>
    <t>Level 3 findings for patrol inspections - Distribution lines</t>
  </si>
  <si>
    <t>Level 3 findings for detailed inspections - Distribution lines</t>
  </si>
  <si>
    <t>Level 3 findings for other inspections (list types of "other" inspections in comments) - Distribution lines</t>
  </si>
  <si>
    <t>1. Grid condition findings from inspection - Transmission lines in HFTD</t>
  </si>
  <si>
    <t>Number of circuit miles inspected from patrol inspections in HFTD - Transmission lines</t>
  </si>
  <si>
    <t>Number of circuit miles inspected from detailed inspections in HFTD - Transmission lines</t>
  </si>
  <si>
    <t>Number of circuit miles inspected from other inspections (list types of "other" inspections in comments) in HFTD - Transmission lines</t>
  </si>
  <si>
    <t>Level 1 findings in HFTD for patrol inspections - Transmission lines</t>
  </si>
  <si>
    <t>Level 1 findings in HFTD for detailed inspections - Transmission lines</t>
  </si>
  <si>
    <t>Level 1 findings in HFTD for other inspections (list types of "other" inspections in comments) - Transmission lines</t>
  </si>
  <si>
    <t>Level 2 findings in HFTD for patrol inspections - Transmission lines</t>
  </si>
  <si>
    <t>Level 2 findings in HFTD for detailed inspections - Transmission lines</t>
  </si>
  <si>
    <t>Level 2 findings in HFTD for other inspections (list types of "other" inspections in comments) - Transmission lines</t>
  </si>
  <si>
    <t>Level 3 findings in HFTD for patrol inspections - Transmission lines</t>
  </si>
  <si>
    <t>Level 3 findings in HFTD for detailed inspections - Transmission lines</t>
  </si>
  <si>
    <t>1. Grid condition findings from inspection - Transmission lines total</t>
  </si>
  <si>
    <t>Number of total circuit miles inspected from patrol inspections - Transmission lines</t>
  </si>
  <si>
    <t>Number of total circuit miles inspected from detailed inspections - Transmission lines</t>
  </si>
  <si>
    <t>Number of total circuit miles inspected from other inspections (list types of "other" inspections in comments) - Transmission lines</t>
  </si>
  <si>
    <t>Level 1 findings for patrol inspections - Transmission lines</t>
  </si>
  <si>
    <t>Level 1 findings for detailed inspections - Transmission lines</t>
  </si>
  <si>
    <t>Level 1 findings for other inspections (list types of "other" inspections in comments) - Transmission lines</t>
  </si>
  <si>
    <t>Level 2 findings for patrol inspections - Transmission lines</t>
  </si>
  <si>
    <t>Level 2 findings for detailed inspections - Transmission lines</t>
  </si>
  <si>
    <t>Level 2 findings for other inspections (list types of "other" inspections in comments) - Transmission lines</t>
  </si>
  <si>
    <t>Level 3 findings for patrol inspections - Transmission lines</t>
  </si>
  <si>
    <t>Level 3 findings for detailed inspections - Transmission lines</t>
  </si>
  <si>
    <t>Level 3 findings for other inspections (list types of "other" inspections in comments) - Transmission lines</t>
  </si>
  <si>
    <t>2. Vegetation clearance findings from inspection - total</t>
  </si>
  <si>
    <t>2.a.i</t>
  </si>
  <si>
    <t>Number of spans insepcted where at least some vegetation was found in non-compliant condition - total</t>
  </si>
  <si>
    <t># of spans inspected with noncompliant clearance based on applicable rules and regulations at the time of inspection</t>
  </si>
  <si>
    <t>During data cleaning process, invalid poleID are eleminated from the count of the Spans</t>
  </si>
  <si>
    <t>2.a.ii</t>
  </si>
  <si>
    <t>Number of spans insepcted for vegetation compliance - total</t>
  </si>
  <si>
    <t># of spans inspected for vegetation compliance</t>
  </si>
  <si>
    <t>Vegetation compliance-when all trees are compliant in a given territory</t>
  </si>
  <si>
    <t>2. Vegetation clearance findings from inspection - in HFTD</t>
  </si>
  <si>
    <t>2.b.i</t>
  </si>
  <si>
    <t>Number of spans insepcted where at least some vegetation was found in non-compliant condition in HFTD</t>
  </si>
  <si>
    <t>2.b.ii</t>
  </si>
  <si>
    <t>Number of spans insepcted for vegetation compliance in HFTD</t>
  </si>
  <si>
    <t>3. Community outreach metrics</t>
  </si>
  <si>
    <t>3.a.</t>
  </si>
  <si>
    <t># Customers in an evacuation zone for utility-ignited wildfire</t>
  </si>
  <si>
    <t>NA</t>
  </si>
  <si>
    <t># customers (if customer was in an evacuation zone for multiple wildfires, count the customer for each relevant wildfire)</t>
  </si>
  <si>
    <t>3.b.</t>
  </si>
  <si>
    <t># Customers notified of evacuation orders</t>
  </si>
  <si>
    <t># customers (count customer multiple times for each unique wildfire of which they were notified)</t>
  </si>
  <si>
    <t>3.c.</t>
  </si>
  <si>
    <t>% of customers notified of evacuation in evacuation zone of a utility-ignited wildfire</t>
  </si>
  <si>
    <t>Percentage of customers notified of evacuation</t>
  </si>
  <si>
    <t>Table 2: Recent performance on outcome metrics</t>
  </si>
  <si>
    <t>Outcome metric name</t>
  </si>
  <si>
    <t>1. Risk events</t>
  </si>
  <si>
    <t>Number of all events with probability of ignition, including wires down, contacts with objects, line slap, events with evidence of heat generation, and other events that cause sparking or have the potential to cause ignition</t>
  </si>
  <si>
    <t>Number per year</t>
  </si>
  <si>
    <t>Number of wires down (total)</t>
  </si>
  <si>
    <t xml:space="preserve">Number of wires down per year </t>
  </si>
  <si>
    <t>Number of outage events not caused by contact with vegetation (total)</t>
  </si>
  <si>
    <t>Number of outage events per year</t>
  </si>
  <si>
    <t>Number of outage events caused by contact with vegetation (total)</t>
  </si>
  <si>
    <t>2. Utility inspection findings - Distribution</t>
  </si>
  <si>
    <t>2.a.</t>
  </si>
  <si>
    <t>Number of Level 1 findings (distribution - total)</t>
  </si>
  <si>
    <t>2.b.</t>
  </si>
  <si>
    <t>Number of Level 2 findings (distribution - total)</t>
  </si>
  <si>
    <t>2.c.</t>
  </si>
  <si>
    <t>Number of Level 3 findings (distribution - total)</t>
  </si>
  <si>
    <t>2.d.</t>
  </si>
  <si>
    <t>Number of distribution circuit miles inspected</t>
  </si>
  <si>
    <t>2. Utility inspection findings - Transmission</t>
  </si>
  <si>
    <t>Number of Level 1 findings (transmission - total)</t>
  </si>
  <si>
    <t>Number of Level 2 findings (transmission - total)</t>
  </si>
  <si>
    <t>2.c.ii</t>
  </si>
  <si>
    <t>Number of Level 3 findings (transmission - total)</t>
  </si>
  <si>
    <t>2.d.ii</t>
  </si>
  <si>
    <t>Number of transmission circuit miles inspected</t>
  </si>
  <si>
    <t>3. Utility ignited wildfire fatalities</t>
  </si>
  <si>
    <t>Fatalities due to utility-ignited wildfire (total)</t>
  </si>
  <si>
    <t>Number of fatalities per year</t>
  </si>
  <si>
    <t>Injuries due to utility-ignited wildfire (total)</t>
  </si>
  <si>
    <t>Number of injuries per year</t>
  </si>
  <si>
    <t xml:space="preserve">4. Value of assets destroyed by utility-ignited wildfire, listed by asset type </t>
  </si>
  <si>
    <t>4.a.</t>
  </si>
  <si>
    <t>Value of assets destroyed by utility-ignited wildfire (total)</t>
  </si>
  <si>
    <t>Dollars of damage or destruction per year</t>
  </si>
  <si>
    <t>5. Structures damaged or destroyed by utility-ignited wildfire</t>
  </si>
  <si>
    <t>5.a.</t>
  </si>
  <si>
    <t>Number of structures destroyed by utility-ignited wildfire (total)</t>
  </si>
  <si>
    <t>Number of structures destroyed per year</t>
  </si>
  <si>
    <t>5.b.</t>
  </si>
  <si>
    <t>Critical infrastructure damaged/destroyed by utility-ignited wildfire (total)</t>
  </si>
  <si>
    <t>Number of critical infrastructure damaged/destroyed per year</t>
  </si>
  <si>
    <t>6. Acreage burned by utility-ignited wildfire</t>
  </si>
  <si>
    <t>6.a.</t>
  </si>
  <si>
    <t>Acreage burned by utility-ignited wildfire (total)</t>
  </si>
  <si>
    <t>Acres burned per year</t>
  </si>
  <si>
    <t>7. Number of utility wildfire ignitons</t>
  </si>
  <si>
    <t>7.a.</t>
  </si>
  <si>
    <t xml:space="preserve">Number of ignitions (total) according to existing ignition data reporting requirement </t>
  </si>
  <si>
    <t>7.b.</t>
  </si>
  <si>
    <t>Number of ignitions in HFTD (subtotal)</t>
  </si>
  <si>
    <t>Number in HFTD per year</t>
  </si>
  <si>
    <t>7.c.</t>
  </si>
  <si>
    <t>Number of ignitions in HFTD Zone 1</t>
  </si>
  <si>
    <t>Number in HFTD Zone 1 per year</t>
  </si>
  <si>
    <t>7.c.ii.</t>
  </si>
  <si>
    <t>Number of ignitions in HFTD Tier 2</t>
  </si>
  <si>
    <t>Number in HFTD Tier 2 per year</t>
  </si>
  <si>
    <t>7.c.iii.</t>
  </si>
  <si>
    <t>Number of ignitions in HFTD Tier 3</t>
  </si>
  <si>
    <t>Number in HFTD Tier 3 per year</t>
  </si>
  <si>
    <t>7.d.</t>
  </si>
  <si>
    <t>Number of ignitions in non-HFTD (subtotal)</t>
  </si>
  <si>
    <t>Number in non-HFTD per year</t>
  </si>
  <si>
    <t>8. Fatalities resulting from utility wildfire mitigation initiatives</t>
  </si>
  <si>
    <t>8.a.</t>
  </si>
  <si>
    <t>Fatalities due to utility wildfire mitigation activities (total) - "activities" defined as all activities accounted for in the 2020 WMP proposed WMP spend</t>
  </si>
  <si>
    <t>9. OSHA-reportable injuries from utility wildfire mitigation initiatives</t>
  </si>
  <si>
    <t>9.a.</t>
  </si>
  <si>
    <t>OSHA-reportable injuries due to utility wildfire mitigation activities (total) - "activities" defined as all activities accounted for in the 2020 WMP proposed WMP spend</t>
  </si>
  <si>
    <t>Number of OSHA-reportable injuries per year</t>
  </si>
  <si>
    <t>Table 3: List and description of additional metrics</t>
  </si>
  <si>
    <t>Metric</t>
  </si>
  <si>
    <t>Metric Name</t>
  </si>
  <si>
    <t>Definition</t>
  </si>
  <si>
    <t>Purpose</t>
  </si>
  <si>
    <t>Assumptions made to connect metric to purpose</t>
  </si>
  <si>
    <t>Third-party validation (if any)</t>
  </si>
  <si>
    <t xml:space="preserve">1. Elevated FPI and Red Flag Warning Days </t>
  </si>
  <si>
    <t>Number of elevated or extreme FPI</t>
  </si>
  <si>
    <t>Elevated or extreme FPI is associated with greater wildfire risk</t>
  </si>
  <si>
    <t>No</t>
  </si>
  <si>
    <t>Days</t>
  </si>
  <si>
    <t>Number of RFW days</t>
  </si>
  <si>
    <t>RFW is associated with greater wildfire risk.</t>
  </si>
  <si>
    <t>2. Ignition Events</t>
  </si>
  <si>
    <t>Vegetation caused ignitons in HFTD with elevated or higher  FPI</t>
  </si>
  <si>
    <t>Incidents</t>
  </si>
  <si>
    <t>Vegetation caused ignitons in HFTD with RFW</t>
  </si>
  <si>
    <t>Equipment caused ignitions in HFTD with elevated or higher FPI</t>
  </si>
  <si>
    <t>Equipment caused ignitions in HFTD with RFW</t>
  </si>
  <si>
    <t>2.e.</t>
  </si>
  <si>
    <t>Balloons caused ignitions in HFTD with Elevated FPI</t>
  </si>
  <si>
    <t>2.f.</t>
  </si>
  <si>
    <t>Balloons caused ignitions in HFTD with RFW</t>
  </si>
  <si>
    <t>2.g.</t>
  </si>
  <si>
    <t>Vehicles caused ignitions in HFTD with elevated or higher FPI</t>
  </si>
  <si>
    <t>2.h.</t>
  </si>
  <si>
    <t>Vehicles caused ignitions in HFTD with RFW</t>
  </si>
  <si>
    <t xml:space="preserve">3. Distribution Outages </t>
  </si>
  <si>
    <t>Vegetation caused outages in HFTD with Elevated FPI</t>
  </si>
  <si>
    <t>Outages</t>
  </si>
  <si>
    <t>Vegetation caused outages in HFTD with RFW</t>
  </si>
  <si>
    <t>Overhead faults on circuits in HFTD with Elevated FPI</t>
  </si>
  <si>
    <t>SDG&amp;E has developed a more precise methodology for identifying the HFTD location of outages by utilizing the pole/asset location instead of the overall circuit location.</t>
  </si>
  <si>
    <t>3.d.</t>
  </si>
  <si>
    <t>Overhead faults on circuits in HFTD with RFW</t>
  </si>
  <si>
    <t>3.e.</t>
  </si>
  <si>
    <t>Energized wire down events in HFTD with Elevated FPI</t>
  </si>
  <si>
    <t>3.f.</t>
  </si>
  <si>
    <t>Energized wire down events in HFTD with RFW</t>
  </si>
  <si>
    <t>3.g.</t>
  </si>
  <si>
    <t>Number of non-CALFIRE rated fuse operations in HFTD with Elevated FPI</t>
  </si>
  <si>
    <t>3.h.</t>
  </si>
  <si>
    <t>Number of non-CALFIRE rated fuse operations in HFTD with RFW</t>
  </si>
  <si>
    <t>Table 4: Fatalities due to utility wildfire mitigation initiatives</t>
  </si>
  <si>
    <t>1. Fatalities - Full-time Employee</t>
  </si>
  <si>
    <t>Fatalities due to utility inspection - Full-time employee</t>
  </si>
  <si>
    <t># fatalities</t>
  </si>
  <si>
    <t>Fatalities due to vegetation management - Full-time employee</t>
  </si>
  <si>
    <t>Fatalities due to utility fuel management - Full-time employee</t>
  </si>
  <si>
    <t>Fatalities due to grid hardening - Full-time employee</t>
  </si>
  <si>
    <t>Fatalities due to other - Full-time employee</t>
  </si>
  <si>
    <t>2. Fatalities - Contractor</t>
  </si>
  <si>
    <t>Fatalities due to utility inspection - Contractor</t>
  </si>
  <si>
    <t>Fatalities due to vegetation management - Contractor</t>
  </si>
  <si>
    <t>Fatalities due to utility fuel management - Contractor</t>
  </si>
  <si>
    <t>Fatalities due to grid hardening - Contractor</t>
  </si>
  <si>
    <t>Fatalities due to other - Contractor</t>
  </si>
  <si>
    <t>3. Fatalities - Member of public</t>
  </si>
  <si>
    <t>Fatalities due to utility inspection - Public</t>
  </si>
  <si>
    <t>Fatalities due to vegetation management - Public</t>
  </si>
  <si>
    <t>Fatalities due to utility fuel management - Public</t>
  </si>
  <si>
    <t>Fatalities due to grid hardening - Public</t>
  </si>
  <si>
    <t>Fatalities due to other - Public</t>
  </si>
  <si>
    <t>Table 5: OSHA-reportable injuries due to utility wildfire mitigation initiatives</t>
  </si>
  <si>
    <t>1. OSHA injuries - Full-time Employee</t>
  </si>
  <si>
    <t>OSHA injuries due to utility inspection - Full-time employee</t>
  </si>
  <si>
    <t># OSHA-reportable injuries</t>
  </si>
  <si>
    <t>OSHA injuries due to vegetation management - Full-time employee</t>
  </si>
  <si>
    <t>OSHA injuries due to utility fuel management - Full-time employee</t>
  </si>
  <si>
    <t>OSHA injuries due to grid hardening - Full-time employee</t>
  </si>
  <si>
    <t>OSHA injuries due to other - Full-time employee</t>
  </si>
  <si>
    <t>2. OSHA injuries - Contractor</t>
  </si>
  <si>
    <t>OSHA injuries due to utility inspection - Contractor</t>
  </si>
  <si>
    <t>OSHA injuries due to vegetation management - Contractor</t>
  </si>
  <si>
    <t>OSHA injuries due to utility fuel management - Contractor</t>
  </si>
  <si>
    <t>OSHA injuries due to grid hardening - Contractor</t>
  </si>
  <si>
    <t>OSHA injuries due to other - Contractor</t>
  </si>
  <si>
    <t>3. OSHA injuries - Member of public</t>
  </si>
  <si>
    <t>OSHA injuries due to utility inspection - Public</t>
  </si>
  <si>
    <t>OSHA injuries due to vegetation management - Public</t>
  </si>
  <si>
    <t>OSHA injuries due to utility fuel management - Public</t>
  </si>
  <si>
    <t>OSHA injuries due to grid hardening - Public</t>
  </si>
  <si>
    <t>OSHA injuries due to other - Public</t>
  </si>
  <si>
    <t>Table 6: Weather patterns</t>
  </si>
  <si>
    <t>1. Red Flag Warning Overhead circuit mile Days</t>
  </si>
  <si>
    <t>Red Flag Warning Overhead circuit mile days - entire utility territory</t>
  </si>
  <si>
    <t>Sum of overhead circuit miles of utility grid subject to Red Flag Warning each day within a given time period, calculated as the number of overhead circuit miles that were under an RFW multiplied by the number of days those circuit miles were under said RFW. For example, if 100 overhead circuit miles were under an RFW for 1 day, and 10 of those miles were under RFW for an additional day, then the total RFW OH circuit mile days would be 110.</t>
  </si>
  <si>
    <t>Red Flag Warning Overhead circuit mile days - HFTD Zone 1</t>
  </si>
  <si>
    <t>Red Flag Warning Overhead circuit mile days, see above for definition</t>
  </si>
  <si>
    <t>Red Flag Warning Overhead circuit mile days - HFTD Tier 2</t>
  </si>
  <si>
    <t>Red Flag Warning Overhead circuit mile days - HFTD Tier 3</t>
  </si>
  <si>
    <t>circuit/tieline spans that cross tier 2 and tier 3 are grouped in tier 3</t>
  </si>
  <si>
    <t>Red Flag Warning Overhead circuit mile days - Non-HFTD</t>
  </si>
  <si>
    <t>2. Wind conditions</t>
  </si>
  <si>
    <t>High wind warning overhead circuit mile days</t>
  </si>
  <si>
    <t xml:space="preserve">Sum of overhead circuit miles of utility grid subject to High Wind Warnings (HWW, as defined by the National Weather Service) each day within a given time period, calculated as the number of overhead circuit miles that were under an HWW multiplied by the number of days those miles were under said HWW. For example, if 100 overhead circuit miles were under an HWW for 1 day, and 10 of those miles were under HWW for an additional day, then the total HWW OH circuit mile days would be 110. </t>
  </si>
  <si>
    <t>3. Other</t>
  </si>
  <si>
    <t>Other relevant weather pattern metrics tracked (add additional rows as needed)</t>
  </si>
  <si>
    <t>Yes</t>
  </si>
  <si>
    <t>&lt;-- for dropdowns</t>
  </si>
  <si>
    <t>Wildfire Safety Division Attachment 2.3</t>
  </si>
  <si>
    <t>Wildifire Mitigation Plan Quarterly report - non-spatial data template</t>
  </si>
  <si>
    <t xml:space="preserve">Resolution WSD-011 Attachment 2.3 </t>
  </si>
  <si>
    <t>Instructions for use</t>
  </si>
  <si>
    <t>Relevant options for mitigations table: Table 12</t>
  </si>
  <si>
    <t>Fill out the tan cells (color represented here) starting with the cell below (D17: Utility). The Utility name will populate the Table tabs to follow. Date modified will vary by table.</t>
  </si>
  <si>
    <t xml:space="preserve">Cells will only accept valid entries. For most cells, this is positive numbers </t>
  </si>
  <si>
    <t>For each Table tab, after a modification is made, denote the date of the change in cell C4 for each Table tab.</t>
  </si>
  <si>
    <t>Initiative categories</t>
  </si>
  <si>
    <t>WMP Maturity model Categories</t>
  </si>
  <si>
    <t>Driver options</t>
  </si>
  <si>
    <t>Some columns have an additional header in row 5 to serve as clarification for several columns.  With the exception of projected data, row 5 will be highlighted in blue (color represented here)</t>
  </si>
  <si>
    <t>Vegetation inspection</t>
  </si>
  <si>
    <t>Risk Assessment &amp; Mapping</t>
  </si>
  <si>
    <t>1. Ignitions</t>
  </si>
  <si>
    <t>Contact with vegetation</t>
  </si>
  <si>
    <t>Some required metrics are future projections. For these, row 5, above the projections will be highlighted light green (color represented here)</t>
  </si>
  <si>
    <t>Vegetation management project</t>
  </si>
  <si>
    <t>Situational Awareness &amp; Forecasting</t>
  </si>
  <si>
    <t>Other contact with object</t>
  </si>
  <si>
    <t xml:space="preserve">In future submissions, report updated projected numbers if / when projections have changed, and report actuals once the quarter / year has passed. </t>
  </si>
  <si>
    <t>Asset inspection</t>
  </si>
  <si>
    <t>Grid Design &amp; System Hardening</t>
  </si>
  <si>
    <t>Equipment failure</t>
  </si>
  <si>
    <t>For data required annually rather than quarterly (see Tables 7.3 - 10), report for entire year even if part of the year is projected. Once year has passed, update cell with actuals</t>
  </si>
  <si>
    <t>Grid hardening</t>
  </si>
  <si>
    <t>Asset Management &amp; Inspections</t>
  </si>
  <si>
    <t>Wire-to-wire contact</t>
  </si>
  <si>
    <r>
      <t xml:space="preserve">Some tables will have additional instructions provided in a </t>
    </r>
    <r>
      <rPr>
        <b/>
        <sz val="11"/>
        <color theme="1"/>
        <rFont val="Calibri"/>
        <family val="2"/>
        <scheme val="minor"/>
      </rPr>
      <t>Notes</t>
    </r>
    <r>
      <rPr>
        <sz val="11"/>
        <color theme="1"/>
        <rFont val="Calibri"/>
        <family val="2"/>
        <scheme val="minor"/>
      </rPr>
      <t xml:space="preserve"> box located in cells D2 - D4 </t>
    </r>
  </si>
  <si>
    <t>Other</t>
  </si>
  <si>
    <t>Vegetation Management &amp; Inspections</t>
  </si>
  <si>
    <t>Contamination</t>
  </si>
  <si>
    <t>Notes will explain terms, signal where projections are required, and provide other useful information.</t>
  </si>
  <si>
    <t>Grid Operations &amp; Operating Protocols</t>
  </si>
  <si>
    <t>Vandalism / Theft</t>
  </si>
  <si>
    <t>For the initial quarterly submission, utilities are required to submit data on annual metrics for 2015 - 2020, which should represent the most updated data from the 2020 WMP for years 2015-2019</t>
  </si>
  <si>
    <t>Data Governance</t>
  </si>
  <si>
    <t>2. PSPS</t>
  </si>
  <si>
    <t>PSPS - for sectionalization, etc.</t>
  </si>
  <si>
    <t>*</t>
  </si>
  <si>
    <t>Do not add or manipulate the template for any of the tabs</t>
  </si>
  <si>
    <t>Resource Allocation Methodology</t>
  </si>
  <si>
    <t>Emergency Planning &amp; Preparedness</t>
  </si>
  <si>
    <t>Update the below table to establish which year, quarter of the WMP cycle this submission this represents.</t>
  </si>
  <si>
    <t>Stakeholder Cooperation &amp; Community Engagement</t>
  </si>
  <si>
    <t>SDG&amp;E</t>
  </si>
  <si>
    <t>First year of 3-year WMP cycle</t>
  </si>
  <si>
    <t>Submission year</t>
  </si>
  <si>
    <t>Submission quarter</t>
  </si>
  <si>
    <t>Q4</t>
  </si>
  <si>
    <t>Data from 2015 - 2020 Q2 should be actual numbers. 2020 Q3 - 2023 should be projected. In future submissions update projected numbers with actuals</t>
  </si>
  <si>
    <t>Number of risk events</t>
  </si>
  <si>
    <t>Projected risk events</t>
  </si>
  <si>
    <t>Table 7.1: Key recent and projected drivers of risk events</t>
  </si>
  <si>
    <t>Risk Event category</t>
  </si>
  <si>
    <t>Cause category</t>
  </si>
  <si>
    <t>Sub-cause category</t>
  </si>
  <si>
    <t>Are risk events tracked for ignition driver? (yes / no)</t>
  </si>
  <si>
    <t>x</t>
  </si>
  <si>
    <t>Wire down event - Distribution</t>
  </si>
  <si>
    <t>1. Contact from object - Distribution</t>
  </si>
  <si>
    <t>Veg. contact- Distribution</t>
  </si>
  <si>
    <t># risk events (excluding ignitions)</t>
  </si>
  <si>
    <t>Animal contact- Distribution</t>
  </si>
  <si>
    <t>Balloon contact- Distribution</t>
  </si>
  <si>
    <t>Vehicle contact- Distribution</t>
  </si>
  <si>
    <t>Other contact from object - Distribution</t>
  </si>
  <si>
    <t>2. Equipment / facility failure - Distribution</t>
  </si>
  <si>
    <t>Connector damage or failure- Distribution</t>
  </si>
  <si>
    <t>Splice damage or failure — Distribution</t>
  </si>
  <si>
    <t>Crossarm damage or failure - Distribution</t>
  </si>
  <si>
    <t>Insulator damage or failure- Distribution</t>
  </si>
  <si>
    <t>Lightning arrestor damage or failure- Distribution</t>
  </si>
  <si>
    <t>Tap damage or failure - Distribution</t>
  </si>
  <si>
    <t>Tie wire damage or failure - Distribution</t>
  </si>
  <si>
    <t>Other - Distribution</t>
  </si>
  <si>
    <t>3. Wire-to-wire contact - Distribution</t>
  </si>
  <si>
    <t>Wire-to-wire contact / contamination- Distribution</t>
  </si>
  <si>
    <t>4. Contamination - Distribution</t>
  </si>
  <si>
    <t>Contamination - Distribution</t>
  </si>
  <si>
    <t>5. Utility work / Operation</t>
  </si>
  <si>
    <t>Utility work / Operation</t>
  </si>
  <si>
    <t>6. Vandalism / Theft - Distribution</t>
  </si>
  <si>
    <t>Vandalism / Theft - Distribution</t>
  </si>
  <si>
    <t>7. Other- Distribution</t>
  </si>
  <si>
    <t>All Other- Distribution</t>
  </si>
  <si>
    <t>8. Unknown- Distribution</t>
  </si>
  <si>
    <t>Unknown - Distribution</t>
  </si>
  <si>
    <t>Wire down event - Transmission</t>
  </si>
  <si>
    <t>9. Contact from object - Transmission</t>
  </si>
  <si>
    <t>Veg. contact- Transmission</t>
  </si>
  <si>
    <t>9.b.</t>
  </si>
  <si>
    <t>Animal contact- Transmission</t>
  </si>
  <si>
    <t>9.c.</t>
  </si>
  <si>
    <t>Balloon contact- Transmission</t>
  </si>
  <si>
    <t>9.d.</t>
  </si>
  <si>
    <t>Vehicle contact- Transmission</t>
  </si>
  <si>
    <t>9.e.</t>
  </si>
  <si>
    <t>Other contact from object - Transmission</t>
  </si>
  <si>
    <t>10. Equipment / facility failure - Transmission</t>
  </si>
  <si>
    <t>10.a.</t>
  </si>
  <si>
    <t>Connector damage or failure- Transmission</t>
  </si>
  <si>
    <t>10.b.</t>
  </si>
  <si>
    <t>Splice damage or failure — Transmission</t>
  </si>
  <si>
    <t>10.c.</t>
  </si>
  <si>
    <t>Crossarm damage or failure - Transmission</t>
  </si>
  <si>
    <t>10.d.</t>
  </si>
  <si>
    <t>Insulator damage or failure- Transmission</t>
  </si>
  <si>
    <t>10.e.</t>
  </si>
  <si>
    <t>Lightning arrestor damage or failure- Transmission</t>
  </si>
  <si>
    <t>10.f.</t>
  </si>
  <si>
    <t>Tap damage or failure - Transmission</t>
  </si>
  <si>
    <t>10.g.</t>
  </si>
  <si>
    <t>Tie wire damage or failure - Transmission</t>
  </si>
  <si>
    <t>10.h.</t>
  </si>
  <si>
    <t>Other - Transmission</t>
  </si>
  <si>
    <t>11. Wire-to-wire contact - Transmission</t>
  </si>
  <si>
    <t>11.a.</t>
  </si>
  <si>
    <t>Wire-to-wire contact / contamination- Transmission</t>
  </si>
  <si>
    <t>12. Contamination - Transmission</t>
  </si>
  <si>
    <t>12.a.</t>
  </si>
  <si>
    <t>Contamination - Transmission</t>
  </si>
  <si>
    <t>13. Utility work / Operation</t>
  </si>
  <si>
    <t>13.a.</t>
  </si>
  <si>
    <t>14. Vandalism / Theft - Transmission</t>
  </si>
  <si>
    <t>14.a.</t>
  </si>
  <si>
    <t>Vandalism / Theft - Transmission</t>
  </si>
  <si>
    <t>15. Other- Transmission</t>
  </si>
  <si>
    <t>15.a.</t>
  </si>
  <si>
    <t>All Other- Transmission</t>
  </si>
  <si>
    <t>16. Unknown- Transmission</t>
  </si>
  <si>
    <t>16.a.</t>
  </si>
  <si>
    <t>Unknown - Transmission</t>
  </si>
  <si>
    <t>Outage - Distribution</t>
  </si>
  <si>
    <t>17. Contact from object - Distribution</t>
  </si>
  <si>
    <t>17.a.</t>
  </si>
  <si>
    <t>17.b.</t>
  </si>
  <si>
    <t>17.c.</t>
  </si>
  <si>
    <t>17.d.</t>
  </si>
  <si>
    <t>17.e.</t>
  </si>
  <si>
    <t>18. Equipment / facility failure - Distribution</t>
  </si>
  <si>
    <t>18.a.</t>
  </si>
  <si>
    <t>Capacitor bank damage or failure- Distribution</t>
  </si>
  <si>
    <t>18.b.</t>
  </si>
  <si>
    <t>Conductor damage or failure — Distribution</t>
  </si>
  <si>
    <t>18.c.</t>
  </si>
  <si>
    <t>Fuse damage or failure - Distribution</t>
  </si>
  <si>
    <t>18.d.</t>
  </si>
  <si>
    <t>18.e.</t>
  </si>
  <si>
    <t>Switch damage or failure- Distribution</t>
  </si>
  <si>
    <t>18.f.</t>
  </si>
  <si>
    <t>Pole damage or failure - Distribution</t>
  </si>
  <si>
    <t>18.g.</t>
  </si>
  <si>
    <t>Insulator and brushing damage or failure - Distribution</t>
  </si>
  <si>
    <t>18.h.</t>
  </si>
  <si>
    <t>18.i.</t>
  </si>
  <si>
    <t>Voltage regulator / booster damage or failure - Distribution</t>
  </si>
  <si>
    <t>18.j.</t>
  </si>
  <si>
    <t>Recloser damage or failure - Distribution</t>
  </si>
  <si>
    <t>18.k.</t>
  </si>
  <si>
    <t>Anchor / guy damage or failure - Distribution</t>
  </si>
  <si>
    <t>18.l.</t>
  </si>
  <si>
    <t>Sectionalizer damage or failure - Distribution</t>
  </si>
  <si>
    <t>18.m.</t>
  </si>
  <si>
    <t>Connection device damage or failure - Distribution</t>
  </si>
  <si>
    <t>18.n.</t>
  </si>
  <si>
    <t>Transformer damage or failure - Distribution</t>
  </si>
  <si>
    <t>18.o.</t>
  </si>
  <si>
    <t>19. Wire-to-wire contact - Distribution</t>
  </si>
  <si>
    <t>19.a.</t>
  </si>
  <si>
    <t>20. Contamination - Distribution</t>
  </si>
  <si>
    <t>20.a.</t>
  </si>
  <si>
    <t>21. Utility work / Operation</t>
  </si>
  <si>
    <t>21.a.</t>
  </si>
  <si>
    <t>22. Vandalism / Theft - Distribution</t>
  </si>
  <si>
    <t>22.a.</t>
  </si>
  <si>
    <t>23. Other- Distribution</t>
  </si>
  <si>
    <t>23.a.</t>
  </si>
  <si>
    <t>24. Unknown- Distribution</t>
  </si>
  <si>
    <t>24.a.</t>
  </si>
  <si>
    <t>Outage - Transmission</t>
  </si>
  <si>
    <t>25. Contact from object - Transmission</t>
  </si>
  <si>
    <t>25.a.</t>
  </si>
  <si>
    <t>25.b.</t>
  </si>
  <si>
    <t>25.c.</t>
  </si>
  <si>
    <t>25.d.</t>
  </si>
  <si>
    <t>25.e.</t>
  </si>
  <si>
    <t>26. Equipment / facility failure - Transmission</t>
  </si>
  <si>
    <t>26.a.</t>
  </si>
  <si>
    <t>Capacitor bank damage or failure- Transmission</t>
  </si>
  <si>
    <t>26.b.</t>
  </si>
  <si>
    <t>Conductor damage or failure — Transmission</t>
  </si>
  <si>
    <t>26.c.</t>
  </si>
  <si>
    <t>Fuse damage or failure - Transmission</t>
  </si>
  <si>
    <t>26.d.</t>
  </si>
  <si>
    <t>26.e.</t>
  </si>
  <si>
    <t>Switch damage or failure- Transmission</t>
  </si>
  <si>
    <t>26.f.</t>
  </si>
  <si>
    <t>Pole damage or failure - Transmission</t>
  </si>
  <si>
    <t>26.g.</t>
  </si>
  <si>
    <t>Insulator and brushing damage or failure - Transmission</t>
  </si>
  <si>
    <t>26.h.</t>
  </si>
  <si>
    <t>26.i.</t>
  </si>
  <si>
    <t>Voltage regulator / booster damage or failure - Transmission</t>
  </si>
  <si>
    <t>26.j.</t>
  </si>
  <si>
    <t>Recloser damage or failure - Transmission</t>
  </si>
  <si>
    <t>26.k.</t>
  </si>
  <si>
    <t>Anchor / guy damage or failure - Transmission</t>
  </si>
  <si>
    <t>26.l.</t>
  </si>
  <si>
    <t>Sectionalizer damage or failure - Transmission</t>
  </si>
  <si>
    <t>26.m.</t>
  </si>
  <si>
    <t>Connection device damage or failure - Transmission</t>
  </si>
  <si>
    <t>26.n.</t>
  </si>
  <si>
    <t>Transformer damage or failure - Transmission</t>
  </si>
  <si>
    <t>26.o.</t>
  </si>
  <si>
    <t>27. Wire-to-wire contact - Transmission</t>
  </si>
  <si>
    <t>27.a.</t>
  </si>
  <si>
    <t>28. Contamination - Transmission</t>
  </si>
  <si>
    <t>28.a.</t>
  </si>
  <si>
    <t>29. Utility work / Operation</t>
  </si>
  <si>
    <t>29.a.</t>
  </si>
  <si>
    <t>30. Vandalism / Theft - Transmission</t>
  </si>
  <si>
    <t>30.a.</t>
  </si>
  <si>
    <t>31. Other- Transmission</t>
  </si>
  <si>
    <t>31.a.</t>
  </si>
  <si>
    <t>32. Unknown- Transmission</t>
  </si>
  <si>
    <t>32.a.</t>
  </si>
  <si>
    <t>Ignition - Distribution</t>
  </si>
  <si>
    <t>33. Contact from object - Distribution</t>
  </si>
  <si>
    <t>33.a.</t>
  </si>
  <si>
    <t># ignitions</t>
  </si>
  <si>
    <t>33.b.</t>
  </si>
  <si>
    <t>33.c.</t>
  </si>
  <si>
    <t>33.d.</t>
  </si>
  <si>
    <t>33.e.</t>
  </si>
  <si>
    <t>34. Equipment / facility failure - Distribution</t>
  </si>
  <si>
    <t>34.a.</t>
  </si>
  <si>
    <t>34.b.</t>
  </si>
  <si>
    <t>34.c.</t>
  </si>
  <si>
    <t>34.d.</t>
  </si>
  <si>
    <t>34.e.</t>
  </si>
  <si>
    <t>34.f.</t>
  </si>
  <si>
    <t>34.g.</t>
  </si>
  <si>
    <t>34.h.</t>
  </si>
  <si>
    <t>34.i.</t>
  </si>
  <si>
    <t>34.j.</t>
  </si>
  <si>
    <t>34.k.</t>
  </si>
  <si>
    <t>34.l.</t>
  </si>
  <si>
    <t>34.m.</t>
  </si>
  <si>
    <t>34.n.</t>
  </si>
  <si>
    <t>34.o.</t>
  </si>
  <si>
    <t>35. Wire-to-wire contact - Distribution</t>
  </si>
  <si>
    <t>35.a.</t>
  </si>
  <si>
    <t>36. Contamination - Distribution</t>
  </si>
  <si>
    <t>36.a.</t>
  </si>
  <si>
    <t>37. Utility work / Operation</t>
  </si>
  <si>
    <t>37.a.</t>
  </si>
  <si>
    <t>38. Vandalism / Theft - Distribution</t>
  </si>
  <si>
    <t>38.a.</t>
  </si>
  <si>
    <t>39. Other- Distribution</t>
  </si>
  <si>
    <t>39.a.</t>
  </si>
  <si>
    <t>40. Unknown- Distribution</t>
  </si>
  <si>
    <t>40.a.</t>
  </si>
  <si>
    <t>Ignition - Transmission</t>
  </si>
  <si>
    <t>41. Contact from object - Transmission</t>
  </si>
  <si>
    <t>41.a.</t>
  </si>
  <si>
    <t>41.b.</t>
  </si>
  <si>
    <t>41.c.</t>
  </si>
  <si>
    <t>41.d.</t>
  </si>
  <si>
    <t>41.e.</t>
  </si>
  <si>
    <t>42. Equipment / facility failure - Transmission</t>
  </si>
  <si>
    <t>42.a.</t>
  </si>
  <si>
    <t>42.b.</t>
  </si>
  <si>
    <t>42.c.</t>
  </si>
  <si>
    <t>42.d.</t>
  </si>
  <si>
    <t>42.e.</t>
  </si>
  <si>
    <t>42.f.</t>
  </si>
  <si>
    <t>42.g.</t>
  </si>
  <si>
    <t>42.h.</t>
  </si>
  <si>
    <t>42.i.</t>
  </si>
  <si>
    <t>42.j.</t>
  </si>
  <si>
    <t>42.k.</t>
  </si>
  <si>
    <t>42.l.</t>
  </si>
  <si>
    <t>42.m.</t>
  </si>
  <si>
    <t>42.n.</t>
  </si>
  <si>
    <t>42.o.</t>
  </si>
  <si>
    <t>43. Wire-to-wire contact - Transmission</t>
  </si>
  <si>
    <t>43.a.</t>
  </si>
  <si>
    <t>44. Contamination - Transmission</t>
  </si>
  <si>
    <t>44.a.</t>
  </si>
  <si>
    <t>45. Utility work / Operation</t>
  </si>
  <si>
    <t>45.a.</t>
  </si>
  <si>
    <t>46. Vandalism / Theft - Transmission</t>
  </si>
  <si>
    <t>46.a.</t>
  </si>
  <si>
    <t>47. Other- Transmission</t>
  </si>
  <si>
    <t>47.a.</t>
  </si>
  <si>
    <t>48. Unknown- Transmission</t>
  </si>
  <si>
    <t>48.a.</t>
  </si>
  <si>
    <t>Ignition - Secondary</t>
  </si>
  <si>
    <t>49. All - Secondary</t>
  </si>
  <si>
    <t>49.a.</t>
  </si>
  <si>
    <t>All - Secondary</t>
  </si>
  <si>
    <t>SDG&amp;E does not track all secondary outages, so for purposes of outage to ignition comparisons, secondary distribution ignitions are separated from primary distribution ignitions.</t>
  </si>
  <si>
    <t>Data from 2015 - 2019 should be actual numbers. 2020 - 2023 should be projected. In future submissions update projected numbers with actuals</t>
  </si>
  <si>
    <t>Number of ignitions by HFTD tier</t>
  </si>
  <si>
    <t>Projected ignitions by HFTD tier</t>
  </si>
  <si>
    <t>Table 7.2: Key recent and projected drivers of ignitions by HFTD region</t>
  </si>
  <si>
    <t>Non-HFTD</t>
  </si>
  <si>
    <t>HFTD Zone 1</t>
  </si>
  <si>
    <t>HFTD Tier 2</t>
  </si>
  <si>
    <t>HFTD Tier 3</t>
  </si>
  <si>
    <t>Ignition driver</t>
  </si>
  <si>
    <t>Are ignitions tracked for ignition driver? (yes / no)</t>
  </si>
  <si>
    <t>2.i.</t>
  </si>
  <si>
    <t>2.j.</t>
  </si>
  <si>
    <t>2.k.</t>
  </si>
  <si>
    <t>2.l.</t>
  </si>
  <si>
    <t>2.m.</t>
  </si>
  <si>
    <t>2.n.</t>
  </si>
  <si>
    <t>2.o.</t>
  </si>
  <si>
    <t>10.i.</t>
  </si>
  <si>
    <t>10.j.</t>
  </si>
  <si>
    <t>10.k.</t>
  </si>
  <si>
    <t>10.l.</t>
  </si>
  <si>
    <t>10.m.</t>
  </si>
  <si>
    <t>10.n.</t>
  </si>
  <si>
    <t>10.o.</t>
  </si>
  <si>
    <t>17. All- Secondary</t>
  </si>
  <si>
    <t>All- Secondary</t>
  </si>
  <si>
    <t>Table 8: State of service territory and utility equipment</t>
  </si>
  <si>
    <t>HFTD Tiers 2 and 3</t>
  </si>
  <si>
    <t>1. State of service territory and equipment in urban areas</t>
  </si>
  <si>
    <t>Circuit miles (including WUI and non-WUI)</t>
  </si>
  <si>
    <t>Circuit miles</t>
  </si>
  <si>
    <t>Circuit miles in WUI</t>
  </si>
  <si>
    <t>Number of critical facilities (including WUI and non-WUI)</t>
  </si>
  <si>
    <t>Number of critical facilities</t>
  </si>
  <si>
    <t>Number of critical facilities in WUI</t>
  </si>
  <si>
    <t>Number of customers (including WUI and non-WUI)</t>
  </si>
  <si>
    <t>Number of customers</t>
  </si>
  <si>
    <t>Number of customers in WUI</t>
  </si>
  <si>
    <t>Number of customers belonging to access and functional needs populations (including WUI and non-WUI)</t>
  </si>
  <si>
    <t>Number of customers belonging to access and functional needs populations</t>
  </si>
  <si>
    <t>Number of customers belonging to access and functional needs populations in WUI</t>
  </si>
  <si>
    <t>Circuit miles of overhead transmission lines (including WUI and non-WUI)</t>
  </si>
  <si>
    <t>Circuit miles of overhead transmission lines</t>
  </si>
  <si>
    <t>Circuit miles of overhead transmission lines in WUI</t>
  </si>
  <si>
    <t>Circuit miles of overhead distribution lines (including WUI and non-WUI)</t>
  </si>
  <si>
    <t xml:space="preserve">Circuit miles of overhead distribution lines </t>
  </si>
  <si>
    <t>Circuit miles of overhead distribution lines in WUI</t>
  </si>
  <si>
    <t>1.m.</t>
  </si>
  <si>
    <t>Number of substations (including WUI and non-WUI)</t>
  </si>
  <si>
    <t>Number of substations</t>
  </si>
  <si>
    <t>1.n</t>
  </si>
  <si>
    <t>Number of substations in WUI</t>
  </si>
  <si>
    <t>1.o.</t>
  </si>
  <si>
    <t>Number of weather stations (including WUI and non-WUI)</t>
  </si>
  <si>
    <t>Number of weather stations</t>
  </si>
  <si>
    <t>1.p.</t>
  </si>
  <si>
    <t>Number of weather stations in WUI</t>
  </si>
  <si>
    <t>2. State of service territory and equipment in rural areas</t>
  </si>
  <si>
    <t>2.n</t>
  </si>
  <si>
    <t>2.p.</t>
  </si>
  <si>
    <t>3. State of service territory and equipment in highly rural areas</t>
  </si>
  <si>
    <t>3.i.</t>
  </si>
  <si>
    <t>3.j.</t>
  </si>
  <si>
    <t>3.k.</t>
  </si>
  <si>
    <t>3.l.</t>
  </si>
  <si>
    <t>3.m.</t>
  </si>
  <si>
    <t>3.n</t>
  </si>
  <si>
    <t>3.o.</t>
  </si>
  <si>
    <t>3.p.</t>
  </si>
  <si>
    <t>Transmission lines refer to all lines at or above 65kV, and distribution lines refer to all lines below 65kV. Report net additions using positive numbers and net removals and undergrounding using negative numbers for circuit miles and numbers of substations. Only report changes expected within the target year.</t>
  </si>
  <si>
    <t xml:space="preserve">For example, if 20 net overhead circuit miles are planned for addition by 2023, with 15 being added by 2022 and 5 more added by 2023, then report “15” for 2022 and “5” for 2023.  Do not report cumulative change across years. In this case, do not report “20” for 2023, but instead the number planned to be added for just that year, which is “5”. </t>
  </si>
  <si>
    <t>Actual</t>
  </si>
  <si>
    <t>Projected</t>
  </si>
  <si>
    <t>Table 9: Location of actual and planned utility equipment additions or removal year over year</t>
  </si>
  <si>
    <t>1. Planned utility equipment net addition (or removal) year over year - in urban areas</t>
  </si>
  <si>
    <t>2. Planned utility equipment net addition (or removal) year over year - in rural areas</t>
  </si>
  <si>
    <t>3. Planned utility equipment net addition (or removal) year over year - in highly rural areas</t>
  </si>
  <si>
    <t>In future submissions update planned upgrade numbers with actuals</t>
  </si>
  <si>
    <t>In the comments column on the far-right, enter the relevant program target(s) associated</t>
  </si>
  <si>
    <t>Table 10: Location of actual and planned utility infrastructure upgrades year over year</t>
  </si>
  <si>
    <t>1. Planned utility infrastructure upgrades year over year - in urban areas</t>
  </si>
  <si>
    <t>Circuit miles of overhead transmission lines planned for upgrades (including WUI and non-WUI)</t>
  </si>
  <si>
    <t>Circuit miles of overhead distribution lines planned for upgrades (including WUI and non-WUI)</t>
  </si>
  <si>
    <t>Circuit miles of overhead transmission lines planned for upgrades in WUI</t>
  </si>
  <si>
    <t>Circuit miles of overhead distribution lines planned for upgrades in WUI</t>
  </si>
  <si>
    <t>Number of substations planned for upgrades (including WUI and non-WUI)</t>
  </si>
  <si>
    <t>Number of substations planned for upgrades in WUI</t>
  </si>
  <si>
    <t>Number of weather stations planned for upgrades (including WUI and non-WUI)</t>
  </si>
  <si>
    <t>Number of weather stations planned for upgrades in WUI</t>
  </si>
  <si>
    <t>2. Planned utility infrastructure upgrades year over year - in rural areas</t>
  </si>
  <si>
    <t>3. Planned utility infrastructure upgrades year over year - in highly rural areas</t>
  </si>
  <si>
    <t>"PSPS" = Public Safety Power Shutoff</t>
  </si>
  <si>
    <t>Table 11: Recent use of PSPS and other PSPS metrics</t>
  </si>
  <si>
    <t>1. Recent use of PSPS</t>
  </si>
  <si>
    <t>Frequency of PSPS events (total)</t>
  </si>
  <si>
    <t>Number of instances where utility operating protocol requires de-energization of a circuit or portion thereof to reduce ignition probability, per year. Only include events in which de-energization ultimately ocurred</t>
  </si>
  <si>
    <t>Scope of PSPS events (total)</t>
  </si>
  <si>
    <t>Circuit-events, measured in number of events multiplied by number of circuits de-energized per year</t>
  </si>
  <si>
    <t>Duration of PSPS events (total)</t>
  </si>
  <si>
    <t>Customer hours per year</t>
  </si>
  <si>
    <t>Duration calculated from first device de-energized to last device restored</t>
  </si>
  <si>
    <t>2. Customer hours of PSPS and other outages</t>
  </si>
  <si>
    <t>Customer hours of planned outages including PSPS (total)</t>
  </si>
  <si>
    <t>Total customer hours of planned outages per year</t>
  </si>
  <si>
    <t>SDG&amp;E does not include PSPS as "planned" ouatges</t>
  </si>
  <si>
    <t>Customer hours of unplanned outages, not including PSPS (total)</t>
  </si>
  <si>
    <t>Total customer hours of unplanned outages per year</t>
  </si>
  <si>
    <t>System Average Interruption Duration Index (SAIDI) (including PSPS)</t>
  </si>
  <si>
    <t>SAIDI index value = sum of all interruptions in time period where each interruption is defined as sum(duration of interruption * # of customer interruptions) / Total number of customers served</t>
  </si>
  <si>
    <t>System Average Interruption Duration Index (SAIDI) (excluding PSPS)</t>
  </si>
  <si>
    <t>System Average Interruption Frequency Index (SAIFI) (including PSPS)</t>
  </si>
  <si>
    <t>SAIFI index value = sum of all interruptions in time period where each interruption is defined as (total # of customer interruptions) / (total # of customers served)</t>
  </si>
  <si>
    <t>System Average Interruption Frequency Index (SAIFI) (excluding PSPS)</t>
  </si>
  <si>
    <t>3. Critical infrastructure impacted by PSPS</t>
  </si>
  <si>
    <t>Critical infrastructure impacted by PSPS</t>
  </si>
  <si>
    <t>Number of critical infrastructure (in accordance with D.19-05-042) locations impacted per hour multiplied by hours offline per year</t>
  </si>
  <si>
    <t>4. Community outreach of PSPS metrics</t>
  </si>
  <si>
    <t># of customers impacted by PSPS</t>
  </si>
  <si>
    <t xml:space="preserve"># of customers impacted by PSPS (if multiple PSPS events impact the same customer, count each event as a separate customer) </t>
  </si>
  <si>
    <t>4.b.</t>
  </si>
  <si>
    <t># of medical baseline customers impacted by PSPS</t>
  </si>
  <si>
    <t>4.c.</t>
  </si>
  <si>
    <t># of customers notified prior to initiation of PSPS event</t>
  </si>
  <si>
    <t xml:space="preserve"># of customers notified of PSPS event prior to initiation (if multiple PSPS events impact the same customer, count each event in which customer was notified as a separate customer) </t>
  </si>
  <si>
    <t>4.d.</t>
  </si>
  <si>
    <t># of medical baseline customers notified prior to initiation of PSPS event</t>
  </si>
  <si>
    <t>4.e.</t>
  </si>
  <si>
    <t>% of customers notified prior to a PSPS event impacting them</t>
  </si>
  <si>
    <t>=4.c. / 4.a.</t>
  </si>
  <si>
    <t>4.f.</t>
  </si>
  <si>
    <t>% of medical baseline customers notified prior to a PSPS event impacting them</t>
  </si>
  <si>
    <t>=4.d. / 4.b.</t>
  </si>
  <si>
    <t>5. Other PSPS metrics</t>
  </si>
  <si>
    <t>Number of PSPS events triggered where no de-energization occurred</t>
  </si>
  <si>
    <t>Number of instances where utility notified the public of a potential PSPS event but no de-energization followed</t>
  </si>
  <si>
    <t>Number of customers located on de-energized circuit</t>
  </si>
  <si>
    <t>5.c.</t>
  </si>
  <si>
    <t>Customer hours of PSPS per RFW OH circuit mile day</t>
  </si>
  <si>
    <t>=1.c. / RFW OH circuit mile days in time period</t>
  </si>
  <si>
    <t>5.d.</t>
  </si>
  <si>
    <t>Frequency of PSPS events (total) - High Wind Warning wind conditions</t>
  </si>
  <si>
    <t>Events over time period that overlapped with a High Wind Warning as defined by the National Weather Service</t>
  </si>
  <si>
    <t>5.e.</t>
  </si>
  <si>
    <t>Scope of PSPS events (total) - High Wind Warning wind conditions</t>
  </si>
  <si>
    <t>Estimated customers impacted over time period that overlapped with a High Wind Warning as defined by the National Weather Service</t>
  </si>
  <si>
    <t>5.f.</t>
  </si>
  <si>
    <t>Duration of PSPS events (total) - High Wind Warning wind conditions</t>
  </si>
  <si>
    <t>Customer hours over time period that overlapped with a High Wind Warning as defined by the National Weather Service</t>
  </si>
  <si>
    <t>X</t>
  </si>
  <si>
    <t>Risk-Spend-Efficiency (RSE) is defined as "An estimate of the cost-effectiveness of initiative, calculated by dividing the mitigation risk reduction benefit by the mitigation cost estimate based on the full set of risk reduction benefits estimated from the incurred costs."</t>
  </si>
  <si>
    <t>CAPEX = Capital expenditure; OPEX = Operating expenditure. 
In future submissions update planned spend, line miles treated, RSE, etc. with updated projections and actuals. Additional instructions can be found in QR information.</t>
  </si>
  <si>
    <t>Table 12: Mitigation initiative financials</t>
  </si>
  <si>
    <t>CAPEX ($ thousands)</t>
  </si>
  <si>
    <t>OPEX ($ thousands)</t>
  </si>
  <si>
    <t>Line miles to be treated</t>
  </si>
  <si>
    <t>Alternative units (if used)</t>
  </si>
  <si>
    <t>WMP Table # / Category</t>
  </si>
  <si>
    <t>2021 WMP Initiative #</t>
  </si>
  <si>
    <t>Initative activity</t>
  </si>
  <si>
    <t>2020 WMP Initiative #</t>
  </si>
  <si>
    <t>Primary driver targeted</t>
  </si>
  <si>
    <t>Secondary driver  targeted</t>
  </si>
  <si>
    <t>Year initiated</t>
  </si>
  <si>
    <t>Estimated RSE in non-HFTD region</t>
  </si>
  <si>
    <t>Estimated RSE in HFTD Zone 1</t>
  </si>
  <si>
    <t>Estimated RSE in HFTD Tier 2</t>
  </si>
  <si>
    <t>Estimated RSE in HFTD Tier 3</t>
  </si>
  <si>
    <t>If existing: most recent proceeding that has reviewed program</t>
  </si>
  <si>
    <t>If new: memorandum account</t>
  </si>
  <si>
    <t>Current compiance status  - In / exceeding compliance with regulations</t>
  </si>
  <si>
    <t>Associated rule(s) - if multiple, separate by semi-colon - ";"</t>
  </si>
  <si>
    <t>If spend not disaggregated by category, note spend category or mark general operations</t>
  </si>
  <si>
    <t>Alternative units in which initiative is reported (if not line miles); still required to report line miles</t>
  </si>
  <si>
    <t>Notes</t>
  </si>
  <si>
    <t>7.3.1.1</t>
  </si>
  <si>
    <t xml:space="preserve">A summarized risk map showing the overall ignition probability and estimated wildfire consequence along electric lines and equipment [WRRM-Ops] </t>
  </si>
  <si>
    <t>5.3.1.1.</t>
  </si>
  <si>
    <t>2019 GRC</t>
  </si>
  <si>
    <t>Exceeds</t>
  </si>
  <si>
    <t>P.U. Code § 451</t>
  </si>
  <si>
    <t>This initiative is foundational to supporting wildfire mitigation efforts. Quantifying an RSE for such a mitigation would be difficult and not beneficial because it cannot be directly tied to reducing a risk driver and measuring the effectiveness of that reduction. It supports various initiatives by providing better information to make risk-informed mitigation decisions.</t>
  </si>
  <si>
    <t>7.3.1.2</t>
  </si>
  <si>
    <t xml:space="preserve">Climate-driven risk map and modelling based on various relevant weather scenarios </t>
  </si>
  <si>
    <t>5.3.1.2.</t>
  </si>
  <si>
    <t>7.3.1.3</t>
  </si>
  <si>
    <t>Ignition probability mapping</t>
  </si>
  <si>
    <t>5.3.1.3.</t>
  </si>
  <si>
    <t>7.3.1.4</t>
  </si>
  <si>
    <t xml:space="preserve">Initiative mapping and estimation of wildfire and PSPS risk-reduction impact </t>
  </si>
  <si>
    <t>5.3.1.4.</t>
  </si>
  <si>
    <t>7.3.1.5</t>
  </si>
  <si>
    <t>Match drop simulations</t>
  </si>
  <si>
    <t>5.3.1.5.</t>
  </si>
  <si>
    <t>7.3.1.6</t>
  </si>
  <si>
    <t>Weather driven risk map and modelling</t>
  </si>
  <si>
    <t>5.3.1.6.</t>
  </si>
  <si>
    <t>7.3.2.1</t>
  </si>
  <si>
    <t>Advanced weather monitoring and weather stations [Advanced weather station integration]</t>
  </si>
  <si>
    <t>5.3.2.1.</t>
  </si>
  <si>
    <t>Weather Stations</t>
  </si>
  <si>
    <t>7.3.2.2</t>
  </si>
  <si>
    <t xml:space="preserve">Continuous monitoring sensors </t>
  </si>
  <si>
    <t>5.3.2.2.</t>
  </si>
  <si>
    <t>7.3.2.3</t>
  </si>
  <si>
    <t>Fault indicators for detecting faults on electric lines and equipment [Wireless fault indicators]</t>
  </si>
  <si>
    <t>5.3.2.3.</t>
  </si>
  <si>
    <t>Fault Indicators</t>
  </si>
  <si>
    <t>7.3.2.4.1</t>
  </si>
  <si>
    <t>Fire science and climate adaptation department</t>
  </si>
  <si>
    <t>5.3.2.4.1.</t>
  </si>
  <si>
    <t>7.3.2.4.2</t>
  </si>
  <si>
    <t>Fire potential index</t>
  </si>
  <si>
    <t>5.3.2.4.2.</t>
  </si>
  <si>
    <t xml:space="preserve">	Fire science and climate adaptation department</t>
  </si>
  <si>
    <t>7.3.2.4.3</t>
  </si>
  <si>
    <t>Santa Ana wildfire threat index</t>
  </si>
  <si>
    <t>5.3.2.4.3.</t>
  </si>
  <si>
    <t>7.3.2.4.4</t>
  </si>
  <si>
    <t>High-performance computing infrastructure</t>
  </si>
  <si>
    <t>5.3.1.7.</t>
  </si>
  <si>
    <t>2020 WMP</t>
  </si>
  <si>
    <t>WMPMA</t>
  </si>
  <si>
    <t>7.3.2.5.</t>
  </si>
  <si>
    <t xml:space="preserve">Personnel monitoring areas of electric lines and equipment in elevated fire risk conditions [Observers] </t>
  </si>
  <si>
    <t>5.3.2.5.</t>
  </si>
  <si>
    <t>Other - Emergency management Operations</t>
  </si>
  <si>
    <t xml:space="preserve">Weather forecasting and estimating impacts on electric lines and equipment  </t>
  </si>
  <si>
    <t>5.3.2.6.</t>
  </si>
  <si>
    <t>7.3.3.1</t>
  </si>
  <si>
    <t>Capacitor maintenance and replacement program [SCADA capacitors]</t>
  </si>
  <si>
    <t>5.3.3.1.</t>
  </si>
  <si>
    <t>G.O. 95</t>
  </si>
  <si>
    <t>Capacitors</t>
  </si>
  <si>
    <t>7.3.3.2</t>
  </si>
  <si>
    <t xml:space="preserve">Circuit breaker maintenance and installation to de-energize lines upon detecting a fault  </t>
  </si>
  <si>
    <t xml:space="preserve">Substation inspections  </t>
  </si>
  <si>
    <t>7.3.3.3</t>
  </si>
  <si>
    <t>Covered conductor installation</t>
  </si>
  <si>
    <t>5.3.3.4.</t>
  </si>
  <si>
    <t>7.3.3.4</t>
  </si>
  <si>
    <t>Covered conductor maintenance</t>
  </si>
  <si>
    <t>Detailed inspections of distribution electric lines and equipment (5-year detailed inspections)</t>
  </si>
  <si>
    <t>7.3.3.5</t>
  </si>
  <si>
    <t xml:space="preserve">Crossarm maintenance, repair, and replacement  </t>
  </si>
  <si>
    <t>5.3.3.5.</t>
  </si>
  <si>
    <t>7.3.3.6</t>
  </si>
  <si>
    <t>Distribution pole replacement and reinforcement, including with composite poles (Pole replacement and reinforcement)</t>
  </si>
  <si>
    <t>5.3.3.6.</t>
  </si>
  <si>
    <t xml:space="preserve">Grouped with RSE calculations for the various inspection programs. Pole replacement and reinforcment activities can be identified as a part of any of the inspection programs in section 7.3.6. We replace poles based on the inspection results. </t>
  </si>
  <si>
    <t>7.3.3.7</t>
  </si>
  <si>
    <t xml:space="preserve">Expulsion fuse replacement  </t>
  </si>
  <si>
    <t>5.3.3.7.</t>
  </si>
  <si>
    <t>Fuses</t>
  </si>
  <si>
    <t>7.3.3.8.1</t>
  </si>
  <si>
    <t>PSPS sectionalizing enhancements</t>
  </si>
  <si>
    <t>5.3.3.8.1.</t>
  </si>
  <si>
    <t>Sectionalizing Devices</t>
  </si>
  <si>
    <t>7.3.3.8.2</t>
  </si>
  <si>
    <t>Microgrids</t>
  </si>
  <si>
    <t>5.3.3.8.2.</t>
  </si>
  <si>
    <t>Micro Grids</t>
  </si>
  <si>
    <t>7.3.3.9</t>
  </si>
  <si>
    <t>Installation of system automation equipment (Advanced Protection)</t>
  </si>
  <si>
    <t>5.3.3.2.</t>
  </si>
  <si>
    <t>Circuits</t>
  </si>
  <si>
    <t>7.3.3.10</t>
  </si>
  <si>
    <t xml:space="preserve">Maintenance, repair, and replacement of connectors, including hotline clamps  </t>
  </si>
  <si>
    <t>5.3.3.10.</t>
  </si>
  <si>
    <t>Hot Line Clamps</t>
  </si>
  <si>
    <t>7.3.3.11.1</t>
  </si>
  <si>
    <t>Resiliency Grant Programs</t>
  </si>
  <si>
    <t>5.3.3.11.1.</t>
  </si>
  <si>
    <t>Generators</t>
  </si>
  <si>
    <t>7.3.3.11.2</t>
  </si>
  <si>
    <t>Standby Power Programs</t>
  </si>
  <si>
    <t>5.3.3.11.3.</t>
  </si>
  <si>
    <t>7.3.3.11.3</t>
  </si>
  <si>
    <t>Resiliency Assistance Programs</t>
  </si>
  <si>
    <t>5.3.3.11.2.</t>
  </si>
  <si>
    <t>7.3.3.12</t>
  </si>
  <si>
    <t xml:space="preserve">Other corrective action  </t>
  </si>
  <si>
    <t>5.3.3.12.</t>
  </si>
  <si>
    <t>7.3.3.13</t>
  </si>
  <si>
    <t>Pole loading infrastructure hardening and replacement program</t>
  </si>
  <si>
    <t>5.3.3.13.</t>
  </si>
  <si>
    <t>Distribution overhead system hardening (Bare Conductor Hardening)</t>
  </si>
  <si>
    <t>7.3.3.14</t>
  </si>
  <si>
    <t xml:space="preserve">Transformers maintenance and replacement  </t>
  </si>
  <si>
    <t>5.3.3.14.</t>
  </si>
  <si>
    <t>7.3.3.15</t>
  </si>
  <si>
    <t xml:space="preserve">Transmission tower maintenance and replacement  </t>
  </si>
  <si>
    <t>5.3.3.15.</t>
  </si>
  <si>
    <t>Detailed inspections of transmission electric lines and equipment (Transmission ground inspections)</t>
  </si>
  <si>
    <t>7.3.3.16</t>
  </si>
  <si>
    <t>Undergrounding of electric lines and/or equipment (Strategic undergrounding)</t>
  </si>
  <si>
    <t>5.3.3.16.</t>
  </si>
  <si>
    <t>7.3.3.17.1</t>
  </si>
  <si>
    <t>5.3.3.3.</t>
  </si>
  <si>
    <t>7.3.3.17.2</t>
  </si>
  <si>
    <t>Overhead transmission fire hardening (Transmission)</t>
  </si>
  <si>
    <t>5.3.3.17.1.</t>
  </si>
  <si>
    <t>FERC</t>
  </si>
  <si>
    <t>Underground transmission fire hardening (Transmission)</t>
  </si>
  <si>
    <t>Overhead transmission fire hardening (Distribution Underbuilt)</t>
  </si>
  <si>
    <t>7.3.3.17.3</t>
  </si>
  <si>
    <t>Cleveland National Forest fire hardening - Transmission OH</t>
  </si>
  <si>
    <t>5.3.3.17.2.</t>
  </si>
  <si>
    <t>Cleveland National Forest fire hardening - Distribution OH</t>
  </si>
  <si>
    <t>Cleveland National Forest fire hardening - Distribution UG</t>
  </si>
  <si>
    <t>7.3.3.18.1</t>
  </si>
  <si>
    <t>Distribution communications reliability improvements</t>
  </si>
  <si>
    <t>5.3.3.18.1.</t>
  </si>
  <si>
    <t>Base Stations</t>
  </si>
  <si>
    <t>Upon further consideration of this initiative, it is now deemed a foundational initiative that is important for supporting various wildfire mitigation initiatives. Enhanced communication systems support the implementation of Advanced Protection as well as other systems such as weather monitoring.</t>
  </si>
  <si>
    <t>7.3.3.18.2</t>
  </si>
  <si>
    <t>Lightning arrestor removal and replacement</t>
  </si>
  <si>
    <t>5.3.3.18.2.</t>
  </si>
  <si>
    <t>Lighting Arrestors</t>
  </si>
  <si>
    <t>7.3.4.1</t>
  </si>
  <si>
    <t>5.3.4.1.</t>
  </si>
  <si>
    <t>Meets</t>
  </si>
  <si>
    <t>Inspections</t>
  </si>
  <si>
    <t>7.3.4.2</t>
  </si>
  <si>
    <t>5.3.4.2.</t>
  </si>
  <si>
    <t>7.3.4.3</t>
  </si>
  <si>
    <t xml:space="preserve">Improvement of inspections </t>
  </si>
  <si>
    <t>5.3.4.3.</t>
  </si>
  <si>
    <t>Drone assessments of distribution infrastructure</t>
  </si>
  <si>
    <t>7.3.4.4</t>
  </si>
  <si>
    <t xml:space="preserve">Infrared inspections of distribution electric lines and equipment  </t>
  </si>
  <si>
    <t>5.3.4.4.</t>
  </si>
  <si>
    <t>7.3.4.5</t>
  </si>
  <si>
    <t xml:space="preserve">Infrared inspections of transmission electric lines and equipment  </t>
  </si>
  <si>
    <t>5.3.4.5.</t>
  </si>
  <si>
    <t>7.3.4.6</t>
  </si>
  <si>
    <t xml:space="preserve">Intrusive pole inspections  </t>
  </si>
  <si>
    <t>5.3.4.6.</t>
  </si>
  <si>
    <t>7.3.4.7</t>
  </si>
  <si>
    <t xml:space="preserve">LiDAR inspections of distribution electric lines and equipment </t>
  </si>
  <si>
    <t>5.3.4.7.</t>
  </si>
  <si>
    <t>LiDAR inspections on distribution and transmission lines are primarily used for grid hardening design efforts rather than for identifying issues like the other inspection programs. As such, quantifying a reduction in igition risk for these inspections is not possible.</t>
  </si>
  <si>
    <t>7.3.4.8</t>
  </si>
  <si>
    <t xml:space="preserve">LiDAR inspections of transmission electric lines and equipment </t>
  </si>
  <si>
    <t>5.3.4.8.</t>
  </si>
  <si>
    <t>7.3.4.9.1</t>
  </si>
  <si>
    <t>HFTD Tier 3 Inspections</t>
  </si>
  <si>
    <t>5.3.4.9.1.</t>
  </si>
  <si>
    <t>7.3.4.9.2</t>
  </si>
  <si>
    <t>5.3.4.9.2.</t>
  </si>
  <si>
    <t>7.3.4.9.3</t>
  </si>
  <si>
    <t>Circuit ownership</t>
  </si>
  <si>
    <t>5.3.4.9.3.</t>
  </si>
  <si>
    <t>7.3.4.10.1</t>
  </si>
  <si>
    <t>(Drone assessment of transmission)</t>
  </si>
  <si>
    <t>5.3.4.10.</t>
  </si>
  <si>
    <t>7.3.4.10.2</t>
  </si>
  <si>
    <t xml:space="preserve">Additional Transmission Aerial 69kV Tier 3 Visual Inspection </t>
  </si>
  <si>
    <t>7.3.4.11</t>
  </si>
  <si>
    <t>Patrol inspections of distribution electric lines and equipment - CMP</t>
  </si>
  <si>
    <t>5.3.4.11.</t>
  </si>
  <si>
    <t>7.3.4.12</t>
  </si>
  <si>
    <t xml:space="preserve">Patrol inspections of transmission electric lines and equipment  </t>
  </si>
  <si>
    <t>5.3.4.12.</t>
  </si>
  <si>
    <t>7.3.4.13</t>
  </si>
  <si>
    <t xml:space="preserve">Pole loading assessment program to determine safety factor  </t>
  </si>
  <si>
    <t>5.3.4.13.</t>
  </si>
  <si>
    <t>7.3.4.14</t>
  </si>
  <si>
    <t>Quality assurance / quality control of inspections (Monitoring and auditing of inspections)</t>
  </si>
  <si>
    <t>5.3.4.14.</t>
  </si>
  <si>
    <t>7.3.4.15</t>
  </si>
  <si>
    <t>5.3.4.15.</t>
  </si>
  <si>
    <t>G.O. 174</t>
  </si>
  <si>
    <t>The way SDG&amp;E designs and constructs its substations, with the steel structures and gravel and concrete base makes it difficult for a fire to spread outside the substation. With very little ignition history, SDG&amp;E performs substation inspection and maintenance more for the importance of substation reliability.</t>
  </si>
  <si>
    <t>7.3.5.1</t>
  </si>
  <si>
    <t xml:space="preserve">Additional efforts to manage community and environmental impacts </t>
  </si>
  <si>
    <t>5.3.5.1.</t>
  </si>
  <si>
    <t>Detailed inspections of vegetation 
around distribution electric lines and equipment (tree trimming)</t>
  </si>
  <si>
    <t>7.3.5.2</t>
  </si>
  <si>
    <t>5.3.5.2.</t>
  </si>
  <si>
    <t>7.3.5.3</t>
  </si>
  <si>
    <t xml:space="preserve">Detailed inspections of vegetation 
around transmission electric lines and equipment 
</t>
  </si>
  <si>
    <t>5.3.5.3.</t>
  </si>
  <si>
    <t>7.3.5.4</t>
  </si>
  <si>
    <t xml:space="preserve">Emergency response vegetation management due to red flag warning or other urgent conditions   </t>
  </si>
  <si>
    <t>5.3.5.4.</t>
  </si>
  <si>
    <t>7.3.5.5</t>
  </si>
  <si>
    <t xml:space="preserve">Fuel management and reduction of “slash” from vegetation management activities </t>
  </si>
  <si>
    <t>5.3.5.5.</t>
  </si>
  <si>
    <t xml:space="preserve">Sturctures Cleared </t>
  </si>
  <si>
    <t>7.3.5.6</t>
  </si>
  <si>
    <t>5.3.5.6.</t>
  </si>
  <si>
    <t>7.3.5.7</t>
  </si>
  <si>
    <t>LiDAR inspections of vegetation around distribution electric lines and equipment (vegetation management technology)</t>
  </si>
  <si>
    <t>5.3.5.7.</t>
  </si>
  <si>
    <t>7.3.5.8</t>
  </si>
  <si>
    <t xml:space="preserve">LiDAR inspections for vegetation around transmission electric lines and equipment 
</t>
  </si>
  <si>
    <t>5.3.5.8.</t>
  </si>
  <si>
    <t>7.3.5.9</t>
  </si>
  <si>
    <t>Other discretionary inspection of vegetation around distribution electric lines and equipment, beyond inspections mandated by rules and regulations (Enhanced inspections, patrols, and trims)</t>
  </si>
  <si>
    <t>5.3.5.9.</t>
  </si>
  <si>
    <t>Trees Trimmed to enahced levels</t>
  </si>
  <si>
    <t>7.3.5.10</t>
  </si>
  <si>
    <t>Other discretionary inspection of vegetation around transmission electric lines and equipment, beyond inspections mandated by rules and regulations</t>
  </si>
  <si>
    <t>5.3.5.10.</t>
  </si>
  <si>
    <t>7.3.5.11</t>
  </si>
  <si>
    <t xml:space="preserve">Patrol inspections of vegetation around distribution electric lines and equipment </t>
  </si>
  <si>
    <t>5.3.5.11.</t>
  </si>
  <si>
    <t>7.3.5.12</t>
  </si>
  <si>
    <t xml:space="preserve">Patrol inspections of vegetation around transmission electric lines and equipment </t>
  </si>
  <si>
    <t>5.3.5.12.</t>
  </si>
  <si>
    <t>7.3.5.13</t>
  </si>
  <si>
    <t xml:space="preserve">Quality assurance / quality control of vegetation inspections  </t>
  </si>
  <si>
    <t>5.3.5.13.</t>
  </si>
  <si>
    <t>7.3.5.14</t>
  </si>
  <si>
    <t xml:space="preserve">Recruiting and training of vegetation management personnel  </t>
  </si>
  <si>
    <t>5.3.5.14.</t>
  </si>
  <si>
    <t>7.3.5.15</t>
  </si>
  <si>
    <t xml:space="preserve">Remediation of at-risk species  </t>
  </si>
  <si>
    <t>5.3.5.15.</t>
  </si>
  <si>
    <t>7.3.5.16</t>
  </si>
  <si>
    <t>Removal and remediation of trees with strike potential to electric lines and equipment (Hazard tree removal and Right Tree-Right Place)</t>
  </si>
  <si>
    <t>5.3.5.16.</t>
  </si>
  <si>
    <t>7.3.5.17</t>
  </si>
  <si>
    <t>5.3.5.17.</t>
  </si>
  <si>
    <t>7.3.5.18</t>
  </si>
  <si>
    <t xml:space="preserve">Substation vegetation management  </t>
  </si>
  <si>
    <t>5.3.5.18.</t>
  </si>
  <si>
    <t>7.3.5.19</t>
  </si>
  <si>
    <t>Vegetation inventory system (Tree database)</t>
  </si>
  <si>
    <t>5.3.5.19.</t>
  </si>
  <si>
    <t>7.3.5.20</t>
  </si>
  <si>
    <t>Vegetation management to achieve clearances around electric lines and equipment (Pole brushing)</t>
  </si>
  <si>
    <t>5.3.5.20.</t>
  </si>
  <si>
    <t>Poles Brushed</t>
  </si>
  <si>
    <t>7.3.6.1.1</t>
  </si>
  <si>
    <t>Recloser protocols</t>
  </si>
  <si>
    <t>5.3.6.1.</t>
  </si>
  <si>
    <t>7.3.6.1.2</t>
  </si>
  <si>
    <t>Sensitive/Fast Protection settings</t>
  </si>
  <si>
    <t>7.3.6.2</t>
  </si>
  <si>
    <t>Crew accompanying ignition prevention and suppression resources and services (Wildfire infrastructure protection teams – Contract fire resources)</t>
  </si>
  <si>
    <t>5.3.6.2.</t>
  </si>
  <si>
    <t>7.3.6.3</t>
  </si>
  <si>
    <t>Personnel work procedures and training in conditions of elevated fire risk (Other special work procedures)</t>
  </si>
  <si>
    <t>5.3.6.3.</t>
  </si>
  <si>
    <t>7.3.6.4</t>
  </si>
  <si>
    <t xml:space="preserve">Protocols for PSPS re-energization </t>
  </si>
  <si>
    <t>5.3.6.4.</t>
  </si>
  <si>
    <t>This is an activity that is foundational to supporting wildfire mitigation efforts and is part of core PSPS operations. Costs for protocols cannot be separated out and evluating benefits for having protocols cannot be meaningfully measured.</t>
  </si>
  <si>
    <t>7.3.6.5</t>
  </si>
  <si>
    <t xml:space="preserve">PSPS events and mitigation of PSPS impacts  </t>
  </si>
  <si>
    <t>5.3.6.5.</t>
  </si>
  <si>
    <t>7.3.6.6.1</t>
  </si>
  <si>
    <t>Aviation firefighting program</t>
  </si>
  <si>
    <t>5.3.6.6.1.</t>
  </si>
  <si>
    <t>7.3.7.1</t>
  </si>
  <si>
    <t xml:space="preserve">Centralized repository for data </t>
  </si>
  <si>
    <t>5.3.7.1.</t>
  </si>
  <si>
    <t>7.3.7.2</t>
  </si>
  <si>
    <t>Collaborative research on utility ignition and/or wildfire (Innovation lab and other collaboration)</t>
  </si>
  <si>
    <t>5.3.7.2.</t>
  </si>
  <si>
    <t>7.3.7.3</t>
  </si>
  <si>
    <t xml:space="preserve">Documentation and disclosure of wildfire-related data and algorithms </t>
  </si>
  <si>
    <t>5.3.7.3.</t>
  </si>
  <si>
    <t>7.3.7.4.1</t>
  </si>
  <si>
    <t>Ignition management program</t>
  </si>
  <si>
    <t>5.3.7.4.1.</t>
  </si>
  <si>
    <t>7.3.7.4.2</t>
  </si>
  <si>
    <t>Reliability database</t>
  </si>
  <si>
    <t>5.3.7.4.2.</t>
  </si>
  <si>
    <t>7.3.8.1</t>
  </si>
  <si>
    <t>Allocation methodology development and application (Asset management)</t>
  </si>
  <si>
    <t>5.3.8.1.</t>
  </si>
  <si>
    <t>7.3.8.2</t>
  </si>
  <si>
    <t xml:space="preserve">Risk reduction scenario development and analysis </t>
  </si>
  <si>
    <t>5.3.8.2.</t>
  </si>
  <si>
    <t>7.3.8.3</t>
  </si>
  <si>
    <t>Risk spend efficiency analysis - not to include PSPS</t>
  </si>
  <si>
    <t>5.3.8.3.</t>
  </si>
  <si>
    <t>7.3.8.4.1</t>
  </si>
  <si>
    <t>Wildfire mitigation personnel</t>
  </si>
  <si>
    <t>5.3.8.4.1.</t>
  </si>
  <si>
    <t>7.3.8.4.2</t>
  </si>
  <si>
    <t>PSPS mitigation engineering team</t>
  </si>
  <si>
    <t>5.3.8.4.2.</t>
  </si>
  <si>
    <t>7.3.9.1</t>
  </si>
  <si>
    <t xml:space="preserve">Adequate and trained workforce for service restoration </t>
  </si>
  <si>
    <t>5.3.9.4.1</t>
  </si>
  <si>
    <t>7.3.9.2</t>
  </si>
  <si>
    <t xml:space="preserve">Community outreach, public awareness, and communications efforts </t>
  </si>
  <si>
    <t>5.3.9.4.2</t>
  </si>
  <si>
    <t>7.3.9.3</t>
  </si>
  <si>
    <t xml:space="preserve">Customer support in emergencies </t>
  </si>
  <si>
    <t>5.3.9.4.3</t>
  </si>
  <si>
    <t>7.3.9.4</t>
  </si>
  <si>
    <t>Disaster and emergency preparedness plan (CERP)</t>
  </si>
  <si>
    <t>5.3.9.4.4</t>
  </si>
  <si>
    <t>7.3.9.5</t>
  </si>
  <si>
    <t>Preparedness and planning for service restoration (Mutual assistance and contractors)</t>
  </si>
  <si>
    <t>5.3.9.4.5</t>
  </si>
  <si>
    <t>7.3.9.6</t>
  </si>
  <si>
    <t>Protocols in place to learn from wildfire events (After action reports)</t>
  </si>
  <si>
    <t>5.3.9.4.6</t>
  </si>
  <si>
    <t>7.3.9.7</t>
  </si>
  <si>
    <t>5.3.9.4.7</t>
  </si>
  <si>
    <t>7.3.10.1</t>
  </si>
  <si>
    <t xml:space="preserve">Community engagement </t>
  </si>
  <si>
    <t>5.3.10.1.</t>
  </si>
  <si>
    <t>This initiative is primarily around educating the community about wildfire safety, resiliency and emergency preparedness. Quantifying an RSE for it would be difficult and not beneficial because it cannot be directly tied to reducing a risk driver and measuring effectiveness of that reduction.</t>
  </si>
  <si>
    <t>7.3.10.1.1</t>
  </si>
  <si>
    <t>PSPS communication practices</t>
  </si>
  <si>
    <t>5.3.6.5.3.</t>
  </si>
  <si>
    <t>7.3.10.2</t>
  </si>
  <si>
    <t>Cooperation and best practice sharing with agencies outside California</t>
  </si>
  <si>
    <t>5.3.10.2.</t>
  </si>
  <si>
    <t>7.3.10.3</t>
  </si>
  <si>
    <t xml:space="preserve">Cooperation with suppression agencies </t>
  </si>
  <si>
    <t>5.3.10.3.</t>
  </si>
  <si>
    <t>7.3.10.4</t>
  </si>
  <si>
    <t xml:space="preserve">Forest service and fuel reduction cooperation and joint roadmap </t>
  </si>
  <si>
    <t>5.3.10.4.</t>
  </si>
  <si>
    <t>7.3.10.5</t>
  </si>
  <si>
    <t>Mylar Balloon Alternative</t>
  </si>
  <si>
    <t>2021 WMP Update</t>
  </si>
  <si>
    <t>The current scope of this initiative is focused on outreach efforts to drive adoption of the alternative technology for Mylar balloons. No current deployment of this technology is in place to allow for a calculation of RSEs based on measureable indicators of effectiveness.</t>
  </si>
  <si>
    <t xml:space="preserve">Notes: </t>
  </si>
  <si>
    <t>1) Amounts shown above are CPUC-jurisdiction direct costs</t>
  </si>
  <si>
    <t>2) Only CPUC-related costs are recorded in the Wildfire Mitigation Plan Memorandum Account for recovery.</t>
  </si>
  <si>
    <t xml:space="preserve">Time is not included when calculating the number of RFW days. </t>
  </si>
  <si>
    <t>All</t>
  </si>
  <si>
    <t>TOTAL</t>
  </si>
  <si>
    <t>HFTD Tiers 2+3</t>
  </si>
  <si>
    <t xml:space="preserve">TOTAL </t>
  </si>
  <si>
    <t>Exp 2020/21</t>
  </si>
  <si>
    <t>Program RSE</t>
  </si>
  <si>
    <t>Exp wtd RSE</t>
  </si>
  <si>
    <t>Pgm 2020/21</t>
  </si>
  <si>
    <t>RSE*Exp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</si>
</sst>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_);\(#,##0.0\);0.0_);@_)"/>
    <numFmt numFmtId="165" formatCode="\Q0"/>
    <numFmt numFmtId="166" formatCode="0&quot;.&quot;"/>
    <numFmt numFmtId="167" formatCode="_(* #,##0_);_(* \(#,##0\);_(* &quot;-&quot;??_);_(@_)"/>
    <numFmt numFmtId="168" formatCode="0.0"/>
    <numFmt numFmtId="169" formatCode="0.0000"/>
    <numFmt numFmtId="170" formatCode="_(* #,##0.0_);_(* \(#,##0.0\);_(* &quot;-&quot;??_);_(@_)"/>
  </numFmts>
  <fonts count="14" x14ac:knownFonts="1">
    <font>
      <sz val="11"/>
      <color theme="1"/>
      <name val="Calibri"/>
      <family val="2"/>
      <scheme val="minor"/>
    </font>
    <font>
      <b/>
      <sz val="11"/>
      <color theme="1"/>
      <name val="Calibri"/>
      <family val="2"/>
      <scheme val="minor"/>
    </font>
    <font>
      <sz val="10"/>
      <name val="Arial"/>
      <family val="2"/>
    </font>
    <font>
      <b/>
      <u/>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20"/>
      <color theme="1"/>
      <name val="Calibri"/>
      <family val="2"/>
      <scheme val="minor"/>
    </font>
    <font>
      <i/>
      <sz val="11"/>
      <color theme="1"/>
      <name val="Calibri"/>
      <family val="2"/>
      <scheme val="minor"/>
    </font>
    <font>
      <sz val="14"/>
      <color theme="1"/>
      <name val="Calibri"/>
      <family val="2"/>
      <scheme val="minor"/>
    </font>
    <font>
      <sz val="11"/>
      <color rgb="FFFF0000"/>
      <name val="Calibri"/>
      <family val="2"/>
      <scheme val="minor"/>
    </font>
    <font>
      <sz val="11"/>
      <color indexed="8"/>
      <name val="Calibri"/>
      <family val="2"/>
      <scheme val="minor"/>
    </font>
    <font>
      <sz val="12"/>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rgb="FFFFF2CC"/>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5" tint="0.79998168889431442"/>
        <bgColor indexed="64"/>
      </patternFill>
    </fill>
  </fills>
  <borders count="17">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theme="0" tint="-0.24994659260841701"/>
      </bottom>
      <diagonal/>
    </border>
    <border>
      <left/>
      <right/>
      <top/>
      <bottom style="thin">
        <color rgb="FF000000"/>
      </bottom>
      <diagonal/>
    </border>
    <border>
      <left/>
      <right/>
      <top/>
      <bottom style="thin">
        <color theme="0" tint="-0.249977111117893"/>
      </bottom>
      <diagonal/>
    </border>
    <border>
      <left/>
      <right/>
      <top style="thin">
        <color theme="0" tint="-0.249977111117893"/>
      </top>
      <bottom style="thin">
        <color theme="0" tint="-0.249977111117893"/>
      </bottom>
      <diagonal/>
    </border>
  </borders>
  <cellStyleXfs count="4">
    <xf numFmtId="0" fontId="0" fillId="0" borderId="0"/>
    <xf numFmtId="164" fontId="2" fillId="0" borderId="0"/>
    <xf numFmtId="43" fontId="4" fillId="0" borderId="0" applyFont="0" applyFill="0" applyBorder="0" applyAlignment="0" applyProtection="0"/>
    <xf numFmtId="0" fontId="12" fillId="0" borderId="0"/>
  </cellStyleXfs>
  <cellXfs count="274">
    <xf numFmtId="0" fontId="0" fillId="0" borderId="0" xfId="0"/>
    <xf numFmtId="0" fontId="0" fillId="2" borderId="0" xfId="0" applyFont="1" applyFill="1" applyAlignment="1">
      <alignment wrapText="1"/>
    </xf>
    <xf numFmtId="0" fontId="0" fillId="2" borderId="0" xfId="0" applyFont="1" applyFill="1" applyBorder="1" applyAlignment="1">
      <alignment horizontal="left" vertical="top"/>
    </xf>
    <xf numFmtId="0" fontId="3" fillId="2" borderId="0" xfId="0" applyFont="1" applyFill="1" applyBorder="1" applyAlignment="1">
      <alignment horizontal="left" vertical="top"/>
    </xf>
    <xf numFmtId="165" fontId="0" fillId="2" borderId="0" xfId="0" applyNumberFormat="1" applyFont="1" applyFill="1" applyBorder="1" applyAlignment="1">
      <alignment horizontal="left" vertical="top"/>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165" fontId="0" fillId="2" borderId="0" xfId="0" applyNumberFormat="1" applyFont="1" applyFill="1" applyBorder="1" applyAlignment="1">
      <alignment horizontal="left" vertical="top" wrapText="1"/>
    </xf>
    <xf numFmtId="0" fontId="0" fillId="2" borderId="0" xfId="0" applyFont="1" applyFill="1" applyAlignment="1"/>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8" xfId="0" applyFont="1" applyFill="1" applyBorder="1" applyAlignment="1"/>
    <xf numFmtId="0" fontId="1" fillId="2" borderId="5" xfId="0" applyFont="1" applyFill="1" applyBorder="1" applyAlignment="1">
      <alignment wrapText="1"/>
    </xf>
    <xf numFmtId="0" fontId="1" fillId="2" borderId="7" xfId="0" applyFont="1" applyFill="1" applyBorder="1" applyAlignment="1">
      <alignment wrapText="1"/>
    </xf>
    <xf numFmtId="0" fontId="1" fillId="2" borderId="9" xfId="0" applyFont="1" applyFill="1" applyBorder="1" applyAlignment="1">
      <alignment wrapText="1"/>
    </xf>
    <xf numFmtId="0" fontId="0" fillId="2" borderId="0" xfId="0" applyFill="1"/>
    <xf numFmtId="0" fontId="0" fillId="2" borderId="0" xfId="0" applyFont="1" applyFill="1" applyBorder="1" applyAlignment="1">
      <alignment wrapText="1"/>
    </xf>
    <xf numFmtId="0" fontId="0" fillId="2" borderId="6" xfId="0" applyFont="1" applyFill="1" applyBorder="1" applyAlignment="1">
      <alignment horizontal="right"/>
    </xf>
    <xf numFmtId="166" fontId="6" fillId="2" borderId="5" xfId="1" applyNumberFormat="1" applyFont="1" applyFill="1" applyBorder="1" applyAlignment="1">
      <alignment horizontal="center" vertical="top"/>
    </xf>
    <xf numFmtId="166" fontId="6" fillId="2" borderId="7" xfId="1" applyNumberFormat="1" applyFont="1" applyFill="1" applyBorder="1" applyAlignment="1">
      <alignment horizontal="center" vertical="top"/>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166" fontId="6" fillId="2" borderId="9" xfId="1" applyNumberFormat="1" applyFont="1" applyFill="1" applyBorder="1" applyAlignment="1">
      <alignment horizontal="center" vertical="top"/>
    </xf>
    <xf numFmtId="0" fontId="4" fillId="2" borderId="12" xfId="0" applyFont="1" applyFill="1" applyBorder="1" applyAlignment="1">
      <alignment horizontal="left" vertical="top" wrapText="1"/>
    </xf>
    <xf numFmtId="0" fontId="4" fillId="2" borderId="10" xfId="0" applyFont="1" applyFill="1" applyBorder="1" applyAlignment="1">
      <alignment horizontal="left" vertical="top" wrapText="1"/>
    </xf>
    <xf numFmtId="0" fontId="0" fillId="3" borderId="11" xfId="0" applyFont="1" applyFill="1" applyBorder="1" applyAlignment="1">
      <alignment horizontal="left" vertical="top"/>
    </xf>
    <xf numFmtId="0" fontId="4" fillId="3" borderId="11" xfId="0" applyFont="1" applyFill="1" applyBorder="1" applyAlignment="1">
      <alignment horizontal="left" vertical="top" wrapText="1"/>
    </xf>
    <xf numFmtId="0" fontId="4" fillId="3" borderId="6" xfId="0" applyFont="1" applyFill="1" applyBorder="1" applyAlignment="1">
      <alignment horizontal="left" vertical="top" wrapText="1"/>
    </xf>
    <xf numFmtId="14" fontId="0" fillId="3" borderId="10" xfId="0" applyNumberFormat="1" applyFont="1" applyFill="1" applyBorder="1" applyAlignment="1"/>
    <xf numFmtId="0" fontId="0" fillId="2" borderId="12" xfId="0" applyFont="1" applyFill="1" applyBorder="1" applyAlignment="1">
      <alignment horizontal="left" vertical="top"/>
    </xf>
    <xf numFmtId="0" fontId="5" fillId="4" borderId="5" xfId="0" applyFont="1" applyFill="1" applyBorder="1" applyAlignment="1">
      <alignment horizontal="left" vertical="top"/>
    </xf>
    <xf numFmtId="0" fontId="6" fillId="4" borderId="11" xfId="0" applyFont="1" applyFill="1" applyBorder="1" applyAlignment="1">
      <alignment horizontal="left" vertical="top"/>
    </xf>
    <xf numFmtId="0" fontId="6" fillId="4" borderId="6" xfId="0" applyFont="1" applyFill="1" applyBorder="1" applyAlignment="1">
      <alignment horizontal="left" vertical="top"/>
    </xf>
    <xf numFmtId="0" fontId="0" fillId="2" borderId="13" xfId="0" applyFont="1" applyFill="1" applyBorder="1" applyAlignment="1">
      <alignment horizontal="left" vertical="top" wrapText="1"/>
    </xf>
    <xf numFmtId="0" fontId="0" fillId="2" borderId="13" xfId="0" applyFont="1" applyFill="1" applyBorder="1" applyAlignment="1">
      <alignment horizontal="left" vertical="top"/>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0" xfId="0" applyAlignment="1">
      <alignment vertical="top" wrapText="1"/>
    </xf>
    <xf numFmtId="0" fontId="7" fillId="0" borderId="0" xfId="0" applyFont="1"/>
    <xf numFmtId="0" fontId="0" fillId="2" borderId="13" xfId="0" applyFont="1" applyFill="1" applyBorder="1" applyAlignment="1">
      <alignment vertical="top" wrapText="1"/>
    </xf>
    <xf numFmtId="0" fontId="0" fillId="4" borderId="0" xfId="0" applyFont="1" applyFill="1" applyAlignment="1"/>
    <xf numFmtId="0" fontId="0" fillId="5" borderId="0" xfId="0" applyFont="1" applyFill="1" applyAlignment="1"/>
    <xf numFmtId="0" fontId="0" fillId="2" borderId="8" xfId="0" applyFont="1" applyFill="1" applyBorder="1" applyAlignment="1">
      <alignment horizontal="right"/>
    </xf>
    <xf numFmtId="0" fontId="4" fillId="5" borderId="8" xfId="0" applyFont="1" applyFill="1" applyBorder="1" applyAlignment="1">
      <alignment horizontal="left" vertical="top" wrapText="1"/>
    </xf>
    <xf numFmtId="0" fontId="1" fillId="2" borderId="0" xfId="0" applyFont="1" applyFill="1"/>
    <xf numFmtId="0" fontId="1" fillId="2" borderId="1" xfId="0" applyFont="1" applyFill="1" applyBorder="1" applyAlignment="1">
      <alignment horizontal="left" wrapText="1"/>
    </xf>
    <xf numFmtId="0" fontId="0" fillId="2" borderId="0" xfId="0" applyFill="1" applyAlignment="1">
      <alignment wrapText="1"/>
    </xf>
    <xf numFmtId="0" fontId="0" fillId="2" borderId="0" xfId="0" applyFill="1" applyBorder="1"/>
    <xf numFmtId="0" fontId="0" fillId="2" borderId="7" xfId="0" applyFill="1" applyBorder="1"/>
    <xf numFmtId="0" fontId="0" fillId="2" borderId="8" xfId="0" applyFill="1" applyBorder="1"/>
    <xf numFmtId="0" fontId="0" fillId="2" borderId="12" xfId="0" applyFill="1" applyBorder="1"/>
    <xf numFmtId="0" fontId="8" fillId="2" borderId="0" xfId="0" applyFont="1" applyFill="1"/>
    <xf numFmtId="0" fontId="1" fillId="2" borderId="5" xfId="0" applyFont="1" applyFill="1" applyBorder="1" applyAlignment="1"/>
    <xf numFmtId="0" fontId="1" fillId="2" borderId="7" xfId="0" applyFont="1" applyFill="1" applyBorder="1" applyAlignment="1"/>
    <xf numFmtId="0" fontId="1" fillId="2" borderId="9" xfId="0" applyFont="1" applyFill="1" applyBorder="1" applyAlignment="1"/>
    <xf numFmtId="0" fontId="0" fillId="2" borderId="0" xfId="0" applyFont="1" applyFill="1" applyBorder="1" applyAlignment="1"/>
    <xf numFmtId="0" fontId="1" fillId="2" borderId="0" xfId="0" applyFont="1" applyFill="1" applyBorder="1" applyAlignment="1"/>
    <xf numFmtId="0" fontId="0" fillId="0" borderId="0" xfId="0" applyFont="1" applyBorder="1" applyAlignment="1">
      <alignment horizontal="left" vertical="top"/>
    </xf>
    <xf numFmtId="0" fontId="0" fillId="2" borderId="0" xfId="0" applyFill="1" applyBorder="1" applyAlignment="1">
      <alignment wrapText="1"/>
    </xf>
    <xf numFmtId="0" fontId="0" fillId="2" borderId="11" xfId="0" applyFill="1" applyBorder="1"/>
    <xf numFmtId="0" fontId="9" fillId="2" borderId="0" xfId="0" applyFont="1" applyFill="1" applyAlignment="1"/>
    <xf numFmtId="0" fontId="0" fillId="0" borderId="0" xfId="0" applyFont="1"/>
    <xf numFmtId="0" fontId="0" fillId="2" borderId="6" xfId="0" applyFill="1" applyBorder="1" applyAlignment="1">
      <alignment horizontal="right"/>
    </xf>
    <xf numFmtId="0" fontId="0" fillId="0" borderId="0" xfId="0" applyAlignment="1">
      <alignment horizontal="left" vertical="top"/>
    </xf>
    <xf numFmtId="14" fontId="0" fillId="3" borderId="10" xfId="0" applyNumberFormat="1" applyFill="1" applyBorder="1"/>
    <xf numFmtId="0" fontId="9" fillId="2" borderId="0" xfId="0" applyFont="1" applyFill="1"/>
    <xf numFmtId="0" fontId="3" fillId="2" borderId="0" xfId="0" applyFont="1" applyFill="1" applyAlignment="1">
      <alignment horizontal="left" vertical="top"/>
    </xf>
    <xf numFmtId="0" fontId="0" fillId="2" borderId="0" xfId="0" applyFill="1" applyAlignment="1">
      <alignment horizontal="left" vertical="top"/>
    </xf>
    <xf numFmtId="165" fontId="0" fillId="2" borderId="0" xfId="0" applyNumberFormat="1" applyFill="1" applyAlignment="1">
      <alignment horizontal="left" vertical="top"/>
    </xf>
    <xf numFmtId="165" fontId="0" fillId="2" borderId="0" xfId="0" applyNumberFormat="1" applyFill="1" applyAlignment="1">
      <alignment horizontal="left" vertical="top"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2" borderId="13" xfId="0" applyFill="1" applyBorder="1" applyAlignment="1">
      <alignment horizontal="left" vertical="top" wrapText="1"/>
    </xf>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2" borderId="13" xfId="0" applyFill="1" applyBorder="1" applyAlignment="1">
      <alignment horizontal="left" vertical="top"/>
    </xf>
    <xf numFmtId="0" fontId="0" fillId="2" borderId="3" xfId="0" applyFill="1" applyBorder="1" applyAlignment="1">
      <alignment horizontal="center" vertical="top" wrapText="1"/>
    </xf>
    <xf numFmtId="0" fontId="10" fillId="2" borderId="0" xfId="0" applyFont="1" applyFill="1"/>
    <xf numFmtId="0" fontId="0" fillId="5" borderId="0" xfId="0" applyFont="1" applyFill="1" applyBorder="1" applyAlignment="1"/>
    <xf numFmtId="0" fontId="0" fillId="4" borderId="8" xfId="0" applyFont="1" applyFill="1" applyBorder="1" applyAlignment="1"/>
    <xf numFmtId="0" fontId="0" fillId="2" borderId="8" xfId="0" applyFont="1" applyFill="1" applyBorder="1" applyAlignment="1">
      <alignment horizontal="left"/>
    </xf>
    <xf numFmtId="165" fontId="0" fillId="2" borderId="8" xfId="0" applyNumberFormat="1" applyFont="1" applyFill="1" applyBorder="1" applyAlignment="1">
      <alignment horizontal="left"/>
    </xf>
    <xf numFmtId="14" fontId="0" fillId="0" borderId="10" xfId="0" applyNumberFormat="1" applyFont="1" applyFill="1" applyBorder="1" applyAlignment="1">
      <alignment horizontal="left"/>
    </xf>
    <xf numFmtId="0" fontId="0" fillId="2" borderId="0" xfId="0" applyFont="1" applyFill="1" applyAlignment="1" applyProtection="1"/>
    <xf numFmtId="0" fontId="0" fillId="2" borderId="0" xfId="0" applyFont="1" applyFill="1" applyAlignment="1" applyProtection="1">
      <alignment wrapText="1"/>
    </xf>
    <xf numFmtId="0" fontId="1" fillId="2" borderId="5" xfId="0" applyFont="1" applyFill="1" applyBorder="1" applyAlignment="1" applyProtection="1">
      <alignment wrapText="1"/>
    </xf>
    <xf numFmtId="0" fontId="0" fillId="2" borderId="6" xfId="0" applyFont="1" applyFill="1" applyBorder="1" applyAlignment="1" applyProtection="1">
      <alignment horizontal="right"/>
    </xf>
    <xf numFmtId="0" fontId="0" fillId="2" borderId="0" xfId="0" applyFont="1" applyFill="1" applyBorder="1" applyAlignment="1" applyProtection="1"/>
    <xf numFmtId="0" fontId="1" fillId="2" borderId="7" xfId="0" applyFont="1" applyFill="1" applyBorder="1" applyAlignment="1" applyProtection="1">
      <alignment wrapText="1"/>
    </xf>
    <xf numFmtId="0" fontId="0" fillId="2" borderId="8" xfId="0" applyFont="1" applyFill="1" applyBorder="1" applyAlignment="1" applyProtection="1">
      <alignment horizontal="right"/>
    </xf>
    <xf numFmtId="0" fontId="0" fillId="2" borderId="0" xfId="0" applyFont="1" applyFill="1" applyBorder="1" applyAlignment="1" applyProtection="1">
      <alignment horizontal="left" vertical="top"/>
    </xf>
    <xf numFmtId="0" fontId="1" fillId="2" borderId="9" xfId="0" applyFont="1" applyFill="1" applyBorder="1" applyAlignment="1" applyProtection="1">
      <alignment wrapText="1"/>
    </xf>
    <xf numFmtId="14" fontId="0" fillId="3" borderId="10" xfId="0" applyNumberFormat="1" applyFont="1" applyFill="1" applyBorder="1" applyAlignment="1" applyProtection="1"/>
    <xf numFmtId="0" fontId="0" fillId="2" borderId="0" xfId="0" applyFill="1" applyBorder="1" applyAlignment="1" applyProtection="1"/>
    <xf numFmtId="0" fontId="1" fillId="0" borderId="0" xfId="0" applyFont="1" applyProtection="1"/>
    <xf numFmtId="0" fontId="0" fillId="4" borderId="0" xfId="0" applyFont="1" applyFill="1" applyAlignment="1" applyProtection="1"/>
    <xf numFmtId="0" fontId="0" fillId="5" borderId="0" xfId="0" applyFont="1" applyFill="1" applyAlignment="1" applyProtection="1"/>
    <xf numFmtId="0" fontId="3" fillId="2" borderId="0" xfId="0" applyFont="1" applyFill="1" applyBorder="1" applyAlignment="1" applyProtection="1">
      <alignment horizontal="left" vertical="top"/>
    </xf>
    <xf numFmtId="165" fontId="0" fillId="2" borderId="0" xfId="0" applyNumberFormat="1" applyFont="1" applyFill="1" applyBorder="1" applyAlignment="1" applyProtection="1">
      <alignment horizontal="left" vertical="top" wrapText="1"/>
    </xf>
    <xf numFmtId="0" fontId="1" fillId="2" borderId="1" xfId="0" applyFont="1" applyFill="1" applyBorder="1" applyAlignment="1" applyProtection="1">
      <alignment horizontal="left" vertical="top" wrapText="1"/>
    </xf>
    <xf numFmtId="0" fontId="1" fillId="2" borderId="1" xfId="0" applyFont="1" applyFill="1" applyBorder="1" applyAlignment="1" applyProtection="1">
      <alignment horizontal="left" vertical="top"/>
    </xf>
    <xf numFmtId="0" fontId="0" fillId="2" borderId="2" xfId="0" applyFont="1" applyFill="1" applyBorder="1" applyAlignment="1" applyProtection="1">
      <alignment vertical="top" wrapText="1"/>
    </xf>
    <xf numFmtId="0" fontId="0" fillId="2" borderId="2" xfId="0" applyFont="1" applyFill="1" applyBorder="1" applyAlignment="1" applyProtection="1">
      <alignment horizontal="left" vertical="top"/>
    </xf>
    <xf numFmtId="0" fontId="0" fillId="2" borderId="3" xfId="0" applyFont="1" applyFill="1" applyBorder="1" applyAlignment="1" applyProtection="1">
      <alignment horizontal="lef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horizontal="left" vertical="top"/>
    </xf>
    <xf numFmtId="0" fontId="0" fillId="2" borderId="3" xfId="0" applyFont="1" applyFill="1" applyBorder="1" applyAlignment="1" applyProtection="1">
      <alignment vertical="top" wrapText="1"/>
    </xf>
    <xf numFmtId="0" fontId="7" fillId="0" borderId="0" xfId="0" applyFont="1" applyProtection="1"/>
    <xf numFmtId="0" fontId="0" fillId="3" borderId="2" xfId="0" applyFont="1" applyFill="1" applyBorder="1" applyAlignment="1" applyProtection="1">
      <alignment horizontal="left" vertical="top" wrapText="1"/>
      <protection locked="0"/>
    </xf>
    <xf numFmtId="0" fontId="0" fillId="3" borderId="13"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2" xfId="0" applyFont="1" applyFill="1" applyBorder="1" applyAlignment="1" applyProtection="1">
      <alignment horizontal="left" vertical="top"/>
      <protection locked="0"/>
    </xf>
    <xf numFmtId="0" fontId="0" fillId="3" borderId="3" xfId="0" applyFont="1" applyFill="1" applyBorder="1" applyAlignment="1" applyProtection="1">
      <alignment horizontal="left" vertical="top"/>
      <protection locked="0"/>
    </xf>
    <xf numFmtId="0" fontId="0" fillId="2" borderId="2" xfId="0" applyFont="1" applyFill="1" applyBorder="1" applyAlignment="1" applyProtection="1">
      <alignment horizontal="left" vertical="top"/>
      <protection locked="0"/>
    </xf>
    <xf numFmtId="0" fontId="0" fillId="2" borderId="3" xfId="0" applyFont="1" applyFill="1" applyBorder="1" applyAlignment="1" applyProtection="1">
      <alignment horizontal="left" vertical="top"/>
      <protection locked="0"/>
    </xf>
    <xf numFmtId="0" fontId="0" fillId="2" borderId="13" xfId="0" applyFont="1" applyFill="1" applyBorder="1" applyAlignment="1" applyProtection="1">
      <alignment horizontal="left" vertical="top"/>
      <protection locked="0"/>
    </xf>
    <xf numFmtId="0" fontId="0" fillId="2" borderId="0" xfId="0" applyFont="1" applyFill="1" applyAlignment="1" applyProtection="1">
      <alignment wrapText="1"/>
      <protection locked="0"/>
    </xf>
    <xf numFmtId="0" fontId="0" fillId="2" borderId="0" xfId="0" applyFont="1" applyFill="1" applyAlignment="1" applyProtection="1">
      <protection locked="0"/>
    </xf>
    <xf numFmtId="0" fontId="0" fillId="2" borderId="2" xfId="0" applyFont="1" applyFill="1" applyBorder="1" applyAlignment="1" applyProtection="1">
      <alignment horizontal="left" vertical="top" wrapText="1"/>
      <protection locked="0"/>
    </xf>
    <xf numFmtId="0" fontId="0" fillId="2" borderId="3" xfId="0" applyFont="1" applyFill="1" applyBorder="1" applyAlignment="1" applyProtection="1">
      <alignment horizontal="left" vertical="top" wrapText="1"/>
      <protection locked="0"/>
    </xf>
    <xf numFmtId="0" fontId="0" fillId="2" borderId="4" xfId="0" applyFont="1" applyFill="1" applyBorder="1" applyAlignment="1" applyProtection="1">
      <alignment horizontal="left" vertical="top" wrapText="1"/>
      <protection locked="0"/>
    </xf>
    <xf numFmtId="0" fontId="0" fillId="2" borderId="4" xfId="0" applyFont="1" applyFill="1" applyBorder="1" applyAlignment="1" applyProtection="1">
      <alignment horizontal="left" vertical="top"/>
      <protection locked="0"/>
    </xf>
    <xf numFmtId="0" fontId="0" fillId="3" borderId="2" xfId="0" applyFill="1" applyBorder="1" applyAlignment="1" applyProtection="1">
      <alignment horizontal="left" vertical="top" wrapText="1"/>
      <protection locked="0"/>
    </xf>
    <xf numFmtId="1" fontId="0" fillId="3" borderId="3" xfId="0" applyNumberFormat="1" applyFill="1" applyBorder="1" applyAlignment="1" applyProtection="1">
      <alignment horizontal="left" vertical="top"/>
      <protection locked="0"/>
    </xf>
    <xf numFmtId="0" fontId="0" fillId="2" borderId="2" xfId="0" applyFill="1" applyBorder="1" applyAlignment="1" applyProtection="1">
      <alignment horizontal="left" vertical="top"/>
      <protection locked="0"/>
    </xf>
    <xf numFmtId="0" fontId="0" fillId="3" borderId="13" xfId="0" applyFill="1" applyBorder="1" applyAlignment="1" applyProtection="1">
      <alignment horizontal="left" vertical="top" wrapText="1"/>
      <protection locked="0"/>
    </xf>
    <xf numFmtId="0" fontId="0" fillId="2" borderId="13" xfId="0" applyFill="1" applyBorder="1" applyAlignment="1" applyProtection="1">
      <alignment horizontal="left" vertical="top"/>
      <protection locked="0"/>
    </xf>
    <xf numFmtId="1" fontId="0" fillId="3" borderId="13" xfId="0" applyNumberFormat="1" applyFill="1" applyBorder="1" applyAlignment="1" applyProtection="1">
      <alignment horizontal="left" vertical="top"/>
      <protection locked="0"/>
    </xf>
    <xf numFmtId="0" fontId="0" fillId="3" borderId="3" xfId="0" applyFill="1" applyBorder="1" applyAlignment="1" applyProtection="1">
      <alignment horizontal="left" vertical="top" wrapText="1"/>
      <protection locked="0"/>
    </xf>
    <xf numFmtId="0" fontId="0" fillId="2" borderId="3" xfId="0" applyFill="1" applyBorder="1" applyAlignment="1" applyProtection="1">
      <alignment horizontal="left" vertical="top"/>
      <protection locked="0"/>
    </xf>
    <xf numFmtId="0" fontId="0" fillId="3" borderId="6" xfId="0" applyFont="1" applyFill="1" applyBorder="1" applyAlignment="1" applyProtection="1">
      <alignment horizontal="left"/>
      <protection locked="0"/>
    </xf>
    <xf numFmtId="0" fontId="0" fillId="0" borderId="7" xfId="0" applyBorder="1"/>
    <xf numFmtId="0" fontId="0" fillId="0" borderId="9" xfId="0" applyBorder="1"/>
    <xf numFmtId="0" fontId="0" fillId="0" borderId="12" xfId="0" applyBorder="1"/>
    <xf numFmtId="0" fontId="0" fillId="0" borderId="10" xfId="0" applyBorder="1"/>
    <xf numFmtId="0" fontId="0" fillId="0" borderId="8" xfId="0" applyBorder="1"/>
    <xf numFmtId="0" fontId="0" fillId="3" borderId="0" xfId="0" applyFont="1" applyFill="1" applyBorder="1" applyAlignment="1" applyProtection="1">
      <alignment horizontal="left" vertical="top" wrapText="1"/>
      <protection locked="0"/>
    </xf>
    <xf numFmtId="0" fontId="1" fillId="2" borderId="11" xfId="0" applyFont="1" applyFill="1" applyBorder="1" applyAlignment="1">
      <alignment wrapText="1"/>
    </xf>
    <xf numFmtId="0" fontId="1" fillId="2" borderId="0" xfId="0" applyFont="1" applyFill="1" applyBorder="1" applyAlignment="1">
      <alignment wrapText="1"/>
    </xf>
    <xf numFmtId="0" fontId="1" fillId="2" borderId="12" xfId="0" applyFont="1" applyFill="1" applyBorder="1" applyAlignment="1">
      <alignment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3" borderId="3" xfId="0" applyFill="1" applyBorder="1" applyAlignment="1" applyProtection="1">
      <alignment horizontal="left" vertical="top"/>
      <protection locked="0"/>
    </xf>
    <xf numFmtId="0" fontId="0" fillId="0" borderId="13" xfId="0" applyFont="1" applyFill="1" applyBorder="1" applyAlignment="1">
      <alignment horizontal="left" vertical="top" wrapText="1"/>
    </xf>
    <xf numFmtId="0" fontId="6" fillId="0" borderId="13" xfId="0" applyFont="1" applyFill="1" applyBorder="1" applyAlignment="1">
      <alignment horizontal="left" vertical="top" wrapText="1"/>
    </xf>
    <xf numFmtId="0" fontId="0" fillId="2" borderId="0" xfId="0" applyFill="1" applyAlignment="1">
      <alignment horizontal="center" wrapText="1"/>
    </xf>
    <xf numFmtId="0" fontId="0" fillId="4" borderId="0" xfId="0" applyFill="1"/>
    <xf numFmtId="0" fontId="0" fillId="5" borderId="0" xfId="0" applyFill="1"/>
    <xf numFmtId="0" fontId="11" fillId="2" borderId="0" xfId="0" applyFont="1" applyFill="1"/>
    <xf numFmtId="167" fontId="11" fillId="2" borderId="0" xfId="0" applyNumberFormat="1" applyFont="1" applyFill="1"/>
    <xf numFmtId="0" fontId="6" fillId="2" borderId="3" xfId="0" applyFont="1" applyFill="1" applyBorder="1" applyAlignment="1">
      <alignment vertical="top" wrapText="1"/>
    </xf>
    <xf numFmtId="0" fontId="6" fillId="3" borderId="3" xfId="0" applyFont="1" applyFill="1" applyBorder="1" applyAlignment="1" applyProtection="1">
      <alignment horizontal="left" vertical="top" wrapText="1"/>
      <protection locked="0"/>
    </xf>
    <xf numFmtId="0" fontId="6" fillId="2" borderId="0" xfId="0" applyFont="1" applyFill="1"/>
    <xf numFmtId="0" fontId="5" fillId="2" borderId="1" xfId="0" applyFont="1" applyFill="1" applyBorder="1" applyAlignment="1">
      <alignment horizontal="left" wrapText="1"/>
    </xf>
    <xf numFmtId="0" fontId="5" fillId="0" borderId="1" xfId="0" applyFont="1" applyFill="1" applyBorder="1" applyAlignment="1">
      <alignment horizontal="left" wrapText="1"/>
    </xf>
    <xf numFmtId="0" fontId="0" fillId="7" borderId="0" xfId="0" applyFont="1" applyFill="1" applyBorder="1" applyAlignment="1" applyProtection="1">
      <alignment horizontal="left" vertical="top" wrapText="1"/>
      <protection locked="0"/>
    </xf>
    <xf numFmtId="0" fontId="0" fillId="7" borderId="0" xfId="0" applyFont="1" applyFill="1" applyBorder="1" applyAlignment="1" applyProtection="1">
      <alignment horizontal="left" vertical="top"/>
      <protection locked="0"/>
    </xf>
    <xf numFmtId="0" fontId="0" fillId="7" borderId="2" xfId="0" applyFont="1" applyFill="1" applyBorder="1" applyAlignment="1" applyProtection="1">
      <alignment horizontal="left" vertical="top" wrapText="1"/>
      <protection locked="0"/>
    </xf>
    <xf numFmtId="0" fontId="0" fillId="7" borderId="13" xfId="0" applyFont="1" applyFill="1" applyBorder="1" applyAlignment="1" applyProtection="1">
      <alignment horizontal="left" vertical="top" wrapText="1"/>
      <protection locked="0"/>
    </xf>
    <xf numFmtId="0" fontId="0" fillId="7" borderId="3" xfId="0" applyFont="1" applyFill="1" applyBorder="1" applyAlignment="1" applyProtection="1">
      <alignment horizontal="left" vertical="top" wrapText="1"/>
      <protection locked="0"/>
    </xf>
    <xf numFmtId="0" fontId="6" fillId="3" borderId="3" xfId="0" applyFont="1" applyFill="1" applyBorder="1" applyAlignment="1" applyProtection="1">
      <alignment horizontal="center" vertical="top" wrapText="1"/>
      <protection locked="0"/>
    </xf>
    <xf numFmtId="0" fontId="1" fillId="2" borderId="1" xfId="0" applyFont="1" applyFill="1" applyBorder="1" applyAlignment="1">
      <alignment horizontal="center" wrapText="1"/>
    </xf>
    <xf numFmtId="0" fontId="0" fillId="2" borderId="0" xfId="0" applyFill="1" applyAlignment="1">
      <alignment horizontal="center"/>
    </xf>
    <xf numFmtId="0" fontId="0" fillId="4" borderId="0" xfId="0" applyFill="1" applyAlignment="1">
      <alignment horizontal="center"/>
    </xf>
    <xf numFmtId="0" fontId="11" fillId="2" borderId="0" xfId="0" applyFont="1" applyFill="1" applyAlignment="1">
      <alignment horizontal="center"/>
    </xf>
    <xf numFmtId="168" fontId="0" fillId="3" borderId="3" xfId="0" applyNumberFormat="1" applyFill="1" applyBorder="1" applyAlignment="1" applyProtection="1">
      <alignment horizontal="left" vertical="top"/>
      <protection locked="0"/>
    </xf>
    <xf numFmtId="167" fontId="11" fillId="2" borderId="0" xfId="0" applyNumberFormat="1" applyFont="1" applyFill="1" applyAlignment="1">
      <alignment horizontal="center"/>
    </xf>
    <xf numFmtId="167" fontId="6" fillId="3" borderId="3" xfId="2" applyNumberFormat="1" applyFont="1" applyFill="1" applyBorder="1" applyAlignment="1" applyProtection="1">
      <alignment horizontal="left" vertical="top" wrapText="1"/>
      <protection locked="0"/>
    </xf>
    <xf numFmtId="0" fontId="0" fillId="0" borderId="0" xfId="0" applyFont="1" applyFill="1" applyAlignment="1"/>
    <xf numFmtId="0" fontId="0" fillId="0" borderId="3" xfId="0" applyFont="1" applyFill="1" applyBorder="1" applyAlignment="1">
      <alignmen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0" fillId="8" borderId="13" xfId="0" applyFont="1" applyFill="1" applyBorder="1" applyAlignment="1" applyProtection="1">
      <alignment horizontal="left" vertical="top" wrapText="1"/>
      <protection locked="0"/>
    </xf>
    <xf numFmtId="0" fontId="0" fillId="8" borderId="3" xfId="0" applyFont="1" applyFill="1" applyBorder="1" applyAlignment="1" applyProtection="1">
      <alignment horizontal="left" vertical="top" wrapText="1"/>
      <protection locked="0"/>
    </xf>
    <xf numFmtId="0" fontId="0" fillId="8" borderId="3" xfId="0" applyFont="1" applyFill="1" applyBorder="1" applyAlignment="1" applyProtection="1">
      <alignment horizontal="left" vertical="top"/>
      <protection locked="0"/>
    </xf>
    <xf numFmtId="0" fontId="0" fillId="8" borderId="3" xfId="0" applyFill="1" applyBorder="1" applyAlignment="1">
      <alignment horizontal="left" vertical="top"/>
    </xf>
    <xf numFmtId="0" fontId="0" fillId="8" borderId="0" xfId="0" applyFill="1" applyAlignment="1">
      <alignment horizontal="left" vertical="top"/>
    </xf>
    <xf numFmtId="167" fontId="11" fillId="3" borderId="3" xfId="2" applyNumberFormat="1" applyFont="1" applyFill="1" applyBorder="1" applyAlignment="1" applyProtection="1">
      <alignment horizontal="left" vertical="top" wrapText="1"/>
      <protection locked="0"/>
    </xf>
    <xf numFmtId="0" fontId="1" fillId="2" borderId="14" xfId="0" applyFont="1" applyFill="1" applyBorder="1" applyAlignment="1">
      <alignment horizontal="left" vertical="top"/>
    </xf>
    <xf numFmtId="167" fontId="0" fillId="2" borderId="0" xfId="0" applyNumberFormat="1" applyFill="1"/>
    <xf numFmtId="0" fontId="1" fillId="2" borderId="0" xfId="0" applyFont="1" applyFill="1" applyAlignment="1">
      <alignment horizontal="center"/>
    </xf>
    <xf numFmtId="0" fontId="0" fillId="3" borderId="0" xfId="0" applyFill="1"/>
    <xf numFmtId="0" fontId="13" fillId="2" borderId="3" xfId="0" applyFont="1" applyFill="1" applyBorder="1" applyAlignment="1">
      <alignment horizontal="left" vertical="top" wrapText="1"/>
    </xf>
    <xf numFmtId="0" fontId="7" fillId="2" borderId="3" xfId="0" applyFont="1" applyFill="1" applyBorder="1" applyAlignment="1">
      <alignment horizontal="left" vertical="top" wrapText="1"/>
    </xf>
    <xf numFmtId="0" fontId="0" fillId="2" borderId="0" xfId="0" applyFill="1" applyAlignment="1"/>
    <xf numFmtId="2" fontId="0" fillId="2" borderId="2" xfId="0" applyNumberFormat="1" applyFill="1" applyBorder="1" applyAlignment="1" applyProtection="1">
      <alignment horizontal="center" vertical="center"/>
      <protection locked="0"/>
    </xf>
    <xf numFmtId="2" fontId="0" fillId="2" borderId="3" xfId="0" applyNumberFormat="1" applyFill="1" applyBorder="1" applyAlignment="1" applyProtection="1">
      <alignment horizontal="center" vertical="center"/>
      <protection locked="0"/>
    </xf>
    <xf numFmtId="0" fontId="7" fillId="3" borderId="3" xfId="0" applyFont="1" applyFill="1" applyBorder="1" applyAlignment="1" applyProtection="1">
      <alignment horizontal="left" vertical="top" wrapText="1"/>
      <protection locked="0"/>
    </xf>
    <xf numFmtId="1" fontId="7" fillId="3" borderId="3" xfId="0" applyNumberFormat="1" applyFont="1" applyFill="1" applyBorder="1" applyAlignment="1" applyProtection="1">
      <alignment horizontal="left" vertical="top"/>
      <protection locked="0"/>
    </xf>
    <xf numFmtId="0" fontId="6" fillId="0" borderId="3" xfId="0" applyFont="1" applyFill="1" applyBorder="1" applyAlignment="1">
      <alignment vertical="top" wrapText="1"/>
    </xf>
    <xf numFmtId="167" fontId="6" fillId="10" borderId="3" xfId="2" applyNumberFormat="1" applyFont="1" applyFill="1" applyBorder="1" applyAlignment="1" applyProtection="1">
      <alignment horizontal="left" vertical="top" wrapText="1"/>
      <protection locked="0"/>
    </xf>
    <xf numFmtId="0" fontId="6" fillId="10" borderId="3" xfId="0" applyFont="1" applyFill="1" applyBorder="1" applyAlignment="1" applyProtection="1">
      <alignment horizontal="left" vertical="top" wrapText="1"/>
      <protection locked="0"/>
    </xf>
    <xf numFmtId="0" fontId="0" fillId="10" borderId="3" xfId="0" applyFont="1" applyFill="1" applyBorder="1" applyAlignment="1" applyProtection="1">
      <alignment horizontal="left" vertical="top" wrapText="1"/>
      <protection locked="0"/>
    </xf>
    <xf numFmtId="0" fontId="0" fillId="2" borderId="0" xfId="0" applyFont="1" applyFill="1" applyAlignment="1">
      <alignment vertical="center" wrapText="1"/>
    </xf>
    <xf numFmtId="0" fontId="1" fillId="2" borderId="1" xfId="0" applyFont="1" applyFill="1" applyBorder="1" applyAlignment="1">
      <alignment horizontal="left" vertical="center" wrapText="1"/>
    </xf>
    <xf numFmtId="0" fontId="0" fillId="2" borderId="0" xfId="0" applyFont="1" applyFill="1" applyAlignment="1">
      <alignment horizontal="left" vertical="top"/>
    </xf>
    <xf numFmtId="0" fontId="0" fillId="2" borderId="0" xfId="0" applyFont="1" applyFill="1" applyAlignment="1">
      <alignment vertical="top"/>
    </xf>
    <xf numFmtId="0" fontId="3" fillId="2" borderId="0" xfId="0" applyFont="1" applyFill="1" applyBorder="1" applyAlignment="1">
      <alignment horizontal="left" vertical="top" wrapText="1"/>
    </xf>
    <xf numFmtId="0" fontId="0" fillId="2" borderId="0" xfId="0" applyFont="1" applyFill="1" applyBorder="1" applyAlignment="1">
      <alignment horizontal="left" vertical="top" wrapText="1"/>
    </xf>
    <xf numFmtId="0" fontId="1" fillId="2" borderId="0" xfId="0" applyFont="1" applyFill="1" applyBorder="1" applyAlignment="1">
      <alignment horizontal="left" vertical="center" wrapText="1"/>
    </xf>
    <xf numFmtId="0" fontId="0" fillId="2" borderId="0" xfId="0" applyFill="1" applyAlignment="1">
      <alignment vertical="top"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3" borderId="2" xfId="0" applyFill="1" applyBorder="1" applyAlignment="1" applyProtection="1">
      <alignment horizontal="left" vertical="top"/>
      <protection locked="0"/>
    </xf>
    <xf numFmtId="0" fontId="0" fillId="3" borderId="3" xfId="0" applyFill="1" applyBorder="1" applyAlignment="1">
      <alignment horizontal="left" vertical="top" wrapText="1"/>
    </xf>
    <xf numFmtId="0" fontId="0" fillId="3" borderId="3" xfId="0" applyFill="1" applyBorder="1" applyAlignment="1">
      <alignment horizontal="left" vertical="top"/>
    </xf>
    <xf numFmtId="0" fontId="7" fillId="3" borderId="3" xfId="0" applyFont="1" applyFill="1" applyBorder="1" applyAlignment="1">
      <alignment horizontal="left" vertical="top" wrapText="1"/>
    </xf>
    <xf numFmtId="170" fontId="0" fillId="3" borderId="3" xfId="0" applyNumberFormat="1" applyFill="1" applyBorder="1" applyAlignment="1" applyProtection="1">
      <alignment horizontal="left" vertical="top" wrapText="1"/>
      <protection locked="0"/>
    </xf>
    <xf numFmtId="170" fontId="0" fillId="3" borderId="3" xfId="0" applyNumberFormat="1" applyFill="1" applyBorder="1" applyAlignment="1" applyProtection="1">
      <alignment horizontal="center" vertical="top" wrapText="1"/>
      <protection locked="0"/>
    </xf>
    <xf numFmtId="0" fontId="7" fillId="3" borderId="16" xfId="0" applyFont="1" applyFill="1" applyBorder="1" applyAlignment="1" applyProtection="1">
      <alignment vertical="center"/>
      <protection locked="0"/>
    </xf>
    <xf numFmtId="167" fontId="0" fillId="3" borderId="16" xfId="2" applyNumberFormat="1" applyFont="1" applyFill="1" applyBorder="1" applyAlignment="1" applyProtection="1">
      <alignment vertical="center" wrapText="1"/>
      <protection locked="0"/>
    </xf>
    <xf numFmtId="167" fontId="7" fillId="3" borderId="16" xfId="2" applyNumberFormat="1" applyFont="1" applyFill="1" applyBorder="1" applyAlignment="1" applyProtection="1">
      <alignment vertical="center" wrapText="1"/>
      <protection locked="0"/>
    </xf>
    <xf numFmtId="167" fontId="7" fillId="3" borderId="16" xfId="2" applyNumberFormat="1" applyFont="1" applyFill="1" applyBorder="1" applyAlignment="1" applyProtection="1">
      <alignment vertical="center"/>
      <protection locked="0"/>
    </xf>
    <xf numFmtId="3" fontId="7" fillId="3" borderId="16" xfId="0" applyNumberFormat="1" applyFont="1" applyFill="1" applyBorder="1" applyAlignment="1" applyProtection="1">
      <alignment vertical="center" wrapText="1"/>
      <protection locked="0"/>
    </xf>
    <xf numFmtId="3" fontId="7" fillId="3" borderId="16" xfId="0" applyNumberFormat="1" applyFont="1" applyFill="1" applyBorder="1" applyAlignment="1" applyProtection="1">
      <alignment vertical="center"/>
      <protection locked="0"/>
    </xf>
    <xf numFmtId="0" fontId="7" fillId="3" borderId="16" xfId="0" applyFont="1" applyFill="1" applyBorder="1" applyAlignment="1" applyProtection="1">
      <alignment vertical="center" wrapText="1"/>
      <protection locked="0"/>
    </xf>
    <xf numFmtId="1" fontId="0" fillId="3" borderId="16" xfId="2" applyNumberFormat="1" applyFont="1" applyFill="1" applyBorder="1" applyAlignment="1" applyProtection="1">
      <alignment vertical="center" wrapText="1"/>
      <protection locked="0"/>
    </xf>
    <xf numFmtId="0" fontId="0" fillId="3" borderId="15" xfId="0" applyFont="1" applyFill="1" applyBorder="1" applyAlignment="1" applyProtection="1">
      <alignment vertical="center" wrapText="1"/>
      <protection locked="0"/>
    </xf>
    <xf numFmtId="0" fontId="0" fillId="3" borderId="15" xfId="0" applyFont="1" applyFill="1" applyBorder="1" applyAlignment="1" applyProtection="1">
      <alignment vertical="center"/>
      <protection locked="0"/>
    </xf>
    <xf numFmtId="2" fontId="0" fillId="3" borderId="15" xfId="0" applyNumberFormat="1" applyFont="1" applyFill="1" applyBorder="1" applyAlignment="1" applyProtection="1">
      <alignment vertical="center"/>
      <protection locked="0"/>
    </xf>
    <xf numFmtId="0" fontId="0" fillId="3" borderId="16" xfId="0" applyFont="1" applyFill="1" applyBorder="1" applyAlignment="1" applyProtection="1">
      <alignment vertical="center" wrapText="1"/>
      <protection locked="0"/>
    </xf>
    <xf numFmtId="0" fontId="0" fillId="3" borderId="16" xfId="0" applyFont="1" applyFill="1" applyBorder="1" applyAlignment="1" applyProtection="1">
      <alignment vertical="center"/>
      <protection locked="0"/>
    </xf>
    <xf numFmtId="2" fontId="0" fillId="3" borderId="16" xfId="0" applyNumberFormat="1" applyFont="1" applyFill="1" applyBorder="1" applyAlignment="1" applyProtection="1">
      <alignment vertical="center"/>
      <protection locked="0"/>
    </xf>
    <xf numFmtId="1" fontId="0" fillId="3" borderId="16" xfId="0" applyNumberFormat="1" applyFont="1" applyFill="1" applyBorder="1" applyAlignment="1" applyProtection="1">
      <alignment vertical="center" wrapText="1"/>
      <protection locked="0"/>
    </xf>
    <xf numFmtId="1" fontId="0" fillId="3" borderId="16" xfId="0" applyNumberFormat="1" applyFont="1" applyFill="1" applyBorder="1" applyAlignment="1" applyProtection="1">
      <alignment vertical="center"/>
      <protection locked="0"/>
    </xf>
    <xf numFmtId="167" fontId="0" fillId="3" borderId="16" xfId="0" applyNumberFormat="1" applyFont="1" applyFill="1" applyBorder="1" applyAlignment="1" applyProtection="1">
      <alignment vertical="center"/>
      <protection locked="0"/>
    </xf>
    <xf numFmtId="167" fontId="0" fillId="3" borderId="16" xfId="0" applyNumberFormat="1" applyFont="1" applyFill="1" applyBorder="1" applyAlignment="1" applyProtection="1">
      <alignment vertical="center" wrapText="1"/>
      <protection locked="0"/>
    </xf>
    <xf numFmtId="3" fontId="0" fillId="3" borderId="16" xfId="0" applyNumberFormat="1" applyFont="1" applyFill="1" applyBorder="1" applyAlignment="1" applyProtection="1">
      <alignment vertical="center" wrapText="1"/>
      <protection locked="0"/>
    </xf>
    <xf numFmtId="3" fontId="0" fillId="3" borderId="16" xfId="0" applyNumberFormat="1" applyFont="1" applyFill="1" applyBorder="1" applyAlignment="1" applyProtection="1">
      <alignment vertical="center"/>
      <protection locked="0"/>
    </xf>
    <xf numFmtId="2" fontId="0" fillId="3" borderId="16" xfId="0" applyNumberFormat="1" applyFont="1" applyFill="1" applyBorder="1" applyAlignment="1" applyProtection="1">
      <alignment vertical="center" wrapText="1"/>
      <protection locked="0"/>
    </xf>
    <xf numFmtId="9" fontId="0" fillId="3" borderId="16" xfId="0" applyNumberFormat="1" applyFont="1" applyFill="1" applyBorder="1" applyAlignment="1" applyProtection="1">
      <alignment vertical="center" wrapText="1"/>
      <protection locked="0"/>
    </xf>
    <xf numFmtId="9" fontId="0" fillId="3" borderId="16" xfId="0" applyNumberFormat="1" applyFont="1" applyFill="1" applyBorder="1" applyAlignment="1" applyProtection="1">
      <alignment vertical="center"/>
      <protection locked="0"/>
    </xf>
    <xf numFmtId="169" fontId="0" fillId="3" borderId="16" xfId="0" applyNumberFormat="1" applyFont="1" applyFill="1" applyBorder="1" applyAlignment="1" applyProtection="1">
      <alignment vertical="center" wrapText="1"/>
      <protection locked="0"/>
    </xf>
    <xf numFmtId="169" fontId="0" fillId="3" borderId="16" xfId="0" applyNumberFormat="1" applyFont="1" applyFill="1" applyBorder="1" applyAlignment="1" applyProtection="1">
      <alignment vertical="center"/>
      <protection locked="0"/>
    </xf>
    <xf numFmtId="0" fontId="0" fillId="6" borderId="0" xfId="0" applyFill="1" applyAlignment="1">
      <alignment horizontal="center" wrapText="1"/>
    </xf>
    <xf numFmtId="0" fontId="0" fillId="6" borderId="0" xfId="0" applyFill="1" applyAlignment="1">
      <alignment wrapText="1"/>
    </xf>
    <xf numFmtId="37" fontId="6" fillId="10" borderId="3" xfId="2" applyNumberFormat="1" applyFont="1" applyFill="1" applyBorder="1" applyAlignment="1" applyProtection="1">
      <alignment horizontal="left" vertical="top" wrapText="1"/>
      <protection locked="0"/>
    </xf>
    <xf numFmtId="0" fontId="0" fillId="2" borderId="0" xfId="0" applyFill="1" applyAlignment="1">
      <alignment horizontal="left"/>
    </xf>
    <xf numFmtId="0" fontId="7" fillId="0" borderId="0" xfId="0" applyFont="1" applyAlignment="1">
      <alignment vertical="top"/>
    </xf>
    <xf numFmtId="168" fontId="0" fillId="3" borderId="2" xfId="0" applyNumberFormat="1" applyFont="1" applyFill="1" applyBorder="1" applyAlignment="1" applyProtection="1">
      <alignment horizontal="left" vertical="top"/>
      <protection locked="0"/>
    </xf>
    <xf numFmtId="168" fontId="0" fillId="3" borderId="13" xfId="0" applyNumberFormat="1" applyFont="1" applyFill="1" applyBorder="1" applyAlignment="1" applyProtection="1">
      <alignment horizontal="left" vertical="top"/>
      <protection locked="0"/>
    </xf>
    <xf numFmtId="168" fontId="0" fillId="3" borderId="3" xfId="0" applyNumberFormat="1" applyFont="1" applyFill="1" applyBorder="1" applyAlignment="1" applyProtection="1">
      <alignment horizontal="left" vertical="top"/>
      <protection locked="0"/>
    </xf>
    <xf numFmtId="0" fontId="7" fillId="0" borderId="0" xfId="0" applyFont="1" applyAlignment="1">
      <alignment vertical="top" wrapText="1"/>
    </xf>
    <xf numFmtId="0" fontId="6" fillId="0" borderId="3" xfId="0" applyFont="1" applyFill="1" applyBorder="1" applyAlignment="1" applyProtection="1">
      <alignment horizontal="left" vertical="top" wrapText="1"/>
      <protection locked="0"/>
    </xf>
    <xf numFmtId="0" fontId="6" fillId="9" borderId="3" xfId="0" applyFont="1" applyFill="1" applyBorder="1" applyAlignment="1" applyProtection="1">
      <alignment horizontal="left" vertical="top" wrapText="1"/>
      <protection locked="0"/>
    </xf>
    <xf numFmtId="0" fontId="0" fillId="11" borderId="0" xfId="0" applyFont="1" applyFill="1" applyAlignment="1"/>
    <xf numFmtId="0" fontId="9" fillId="11" borderId="0" xfId="0" applyFont="1" applyFill="1" applyAlignment="1"/>
    <xf numFmtId="165" fontId="0" fillId="11" borderId="0" xfId="0" applyNumberFormat="1" applyFont="1" applyFill="1" applyBorder="1" applyAlignment="1">
      <alignment horizontal="left" vertical="top"/>
    </xf>
    <xf numFmtId="0" fontId="1" fillId="11" borderId="1" xfId="0" applyFont="1" applyFill="1" applyBorder="1" applyAlignment="1">
      <alignment horizontal="left" vertical="top"/>
    </xf>
    <xf numFmtId="168" fontId="0" fillId="11" borderId="13" xfId="0" applyNumberFormat="1" applyFill="1" applyBorder="1" applyAlignment="1" applyProtection="1">
      <alignment horizontal="left" vertical="top"/>
      <protection locked="0"/>
    </xf>
    <xf numFmtId="0" fontId="0" fillId="11" borderId="0" xfId="0" applyFont="1" applyFill="1" applyBorder="1" applyAlignment="1">
      <alignment wrapText="1"/>
    </xf>
    <xf numFmtId="0" fontId="0" fillId="6" borderId="0" xfId="0" applyFont="1" applyFill="1" applyAlignment="1"/>
    <xf numFmtId="0" fontId="0" fillId="6" borderId="0" xfId="0" applyFont="1" applyFill="1" applyBorder="1" applyAlignment="1">
      <alignment horizontal="left" vertical="top"/>
    </xf>
    <xf numFmtId="0" fontId="1" fillId="6" borderId="1" xfId="0" applyFont="1" applyFill="1" applyBorder="1" applyAlignment="1">
      <alignment horizontal="left" vertical="top"/>
    </xf>
    <xf numFmtId="168" fontId="0" fillId="6" borderId="3" xfId="0" applyNumberFormat="1" applyFill="1" applyBorder="1" applyAlignment="1" applyProtection="1">
      <alignment horizontal="left" vertical="top"/>
      <protection locked="0"/>
    </xf>
    <xf numFmtId="0" fontId="0" fillId="6" borderId="0" xfId="0" applyFont="1" applyFill="1" applyBorder="1" applyAlignment="1">
      <alignment wrapText="1"/>
    </xf>
    <xf numFmtId="1" fontId="0" fillId="11" borderId="13" xfId="0" applyNumberFormat="1" applyFill="1" applyBorder="1" applyAlignment="1" applyProtection="1">
      <alignment horizontal="left" vertical="top"/>
      <protection locked="0"/>
    </xf>
    <xf numFmtId="0" fontId="0" fillId="4" borderId="2" xfId="0" applyFill="1" applyBorder="1" applyAlignment="1" applyProtection="1">
      <alignment horizontal="left" vertical="top" wrapText="1"/>
      <protection locked="0"/>
    </xf>
    <xf numFmtId="0" fontId="0" fillId="4" borderId="13" xfId="0" applyFill="1" applyBorder="1" applyAlignment="1" applyProtection="1">
      <alignment horizontal="left" vertical="top" wrapText="1"/>
      <protection locked="0"/>
    </xf>
    <xf numFmtId="0" fontId="0" fillId="4" borderId="0" xfId="0" applyFill="1" applyAlignment="1">
      <alignment horizontal="left" vertical="top"/>
    </xf>
    <xf numFmtId="0" fontId="0" fillId="4" borderId="3" xfId="0" applyFill="1" applyBorder="1" applyAlignment="1" applyProtection="1">
      <alignment horizontal="left" vertical="top" wrapText="1"/>
      <protection locked="0"/>
    </xf>
    <xf numFmtId="0" fontId="7" fillId="4" borderId="3" xfId="0" applyFont="1" applyFill="1" applyBorder="1" applyAlignment="1" applyProtection="1">
      <alignment horizontal="left" vertical="top" wrapText="1"/>
      <protection locked="0"/>
    </xf>
    <xf numFmtId="0" fontId="0" fillId="11" borderId="2" xfId="0" applyFill="1" applyBorder="1" applyAlignment="1" applyProtection="1">
      <alignment horizontal="left" vertical="top"/>
      <protection locked="0"/>
    </xf>
    <xf numFmtId="0" fontId="0" fillId="4" borderId="0" xfId="0" applyFill="1" applyAlignment="1">
      <alignment horizontal="left" vertical="top" wrapText="1"/>
    </xf>
    <xf numFmtId="0" fontId="0" fillId="4" borderId="3" xfId="0" applyFill="1" applyBorder="1" applyAlignment="1">
      <alignment horizontal="left" vertical="top" wrapText="1"/>
    </xf>
    <xf numFmtId="0" fontId="7" fillId="4" borderId="3" xfId="0" applyFont="1" applyFill="1" applyBorder="1" applyAlignment="1">
      <alignment horizontal="left" vertical="top" wrapText="1"/>
    </xf>
    <xf numFmtId="170" fontId="0" fillId="11" borderId="13" xfId="0" applyNumberFormat="1" applyFill="1" applyBorder="1" applyAlignment="1" applyProtection="1">
      <alignment horizontal="left" vertical="top" wrapText="1"/>
      <protection locked="0"/>
    </xf>
    <xf numFmtId="170" fontId="0" fillId="4" borderId="3" xfId="0" applyNumberFormat="1" applyFill="1" applyBorder="1" applyAlignment="1" applyProtection="1">
      <alignment horizontal="left" vertical="top" wrapText="1"/>
      <protection locked="0"/>
    </xf>
    <xf numFmtId="0" fontId="0" fillId="6" borderId="3" xfId="0" applyFont="1" applyFill="1" applyBorder="1" applyAlignment="1" applyProtection="1">
      <alignment horizontal="left" vertical="top" wrapText="1"/>
      <protection locked="0"/>
    </xf>
    <xf numFmtId="0" fontId="0" fillId="6" borderId="3" xfId="0" applyFill="1" applyBorder="1" applyAlignment="1" applyProtection="1">
      <alignment horizontal="left" vertical="top" wrapText="1"/>
      <protection locked="0"/>
    </xf>
    <xf numFmtId="0" fontId="0" fillId="11" borderId="13" xfId="0" applyFont="1" applyFill="1" applyBorder="1" applyAlignment="1" applyProtection="1">
      <alignment horizontal="left" vertical="top" wrapText="1"/>
      <protection locked="0"/>
    </xf>
    <xf numFmtId="0" fontId="0" fillId="2" borderId="0" xfId="0" applyFont="1" applyFill="1" applyAlignment="1">
      <alignment horizontal="left"/>
    </xf>
  </cellXfs>
  <cellStyles count="4">
    <cellStyle name="Comma" xfId="2" builtinId="3"/>
    <cellStyle name="Normal" xfId="0" builtinId="0"/>
    <cellStyle name="Normal 2" xfId="3" xr:uid="{AB2F979F-18E9-4B35-B5D0-E58FD06DF1BB}"/>
    <cellStyle name="Normal 5" xfId="1" xr:uid="{44901C1E-E1A5-402C-83AA-434CF17166C2}"/>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3683560</xdr:colOff>
      <xdr:row>1</xdr:row>
      <xdr:rowOff>11206</xdr:rowOff>
    </xdr:from>
    <xdr:to>
      <xdr:col>7</xdr:col>
      <xdr:colOff>431725</xdr:colOff>
      <xdr:row>5</xdr:row>
      <xdr:rowOff>8442</xdr:rowOff>
    </xdr:to>
    <xdr:pic>
      <xdr:nvPicPr>
        <xdr:cNvPr id="2" name="Picture 1">
          <a:extLst>
            <a:ext uri="{FF2B5EF4-FFF2-40B4-BE49-F238E27FC236}">
              <a16:creationId xmlns:a16="http://schemas.microsoft.com/office/drawing/2014/main" id="{25543CF5-589E-43A8-9E7F-9E5225439B75}"/>
            </a:ext>
          </a:extLst>
        </xdr:cNvPr>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773707" y="11206"/>
          <a:ext cx="1542415" cy="150685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raagas\AppData\Local\Microsoft\Windows\INetCache\Content.Outlook\FY0QXE3Y\20200105%20Update%20Attachment%202.3%20to%20WSD-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rterly Submission Guide"/>
      <sheetName val="Table 1"/>
      <sheetName val="Table 2"/>
      <sheetName val="Table 3"/>
      <sheetName val="Table 4"/>
      <sheetName val="Table 5"/>
      <sheetName val="Table 6"/>
      <sheetName val="Table 7.1"/>
      <sheetName val="Table 7.2"/>
      <sheetName val="Table 8"/>
      <sheetName val="Table 9"/>
      <sheetName val="Table 10"/>
      <sheetName val="Table 11"/>
      <sheetName val="Table 12"/>
    </sheetNames>
    <sheetDataSet>
      <sheetData sheetId="0">
        <row r="20">
          <cell r="D20" t="str">
            <v>X</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9A2FB-F29D-4F36-8852-082275932CD2}">
  <sheetPr codeName="Sheet1">
    <pageSetUpPr fitToPage="1"/>
  </sheetPr>
  <dimension ref="B1:O24"/>
  <sheetViews>
    <sheetView showGridLines="0" topLeftCell="A2" zoomScale="60" zoomScaleNormal="60" zoomScalePageLayoutView="90" workbookViewId="0">
      <selection activeCell="D32" sqref="D32"/>
    </sheetView>
  </sheetViews>
  <sheetFormatPr defaultColWidth="8.73046875" defaultRowHeight="14.25" x14ac:dyDescent="0.45"/>
  <cols>
    <col min="1" max="1" width="8.73046875" style="17"/>
    <col min="2" max="2" width="4.73046875" style="17" customWidth="1"/>
    <col min="3" max="3" width="33.73046875" style="17" customWidth="1"/>
    <col min="4" max="4" width="53.73046875" style="17" customWidth="1"/>
    <col min="5" max="5" width="47.73046875" style="17" customWidth="1"/>
    <col min="6" max="6" width="8.73046875" style="17"/>
    <col min="7" max="7" width="7.265625" style="17" customWidth="1"/>
    <col min="8" max="8" width="41" style="17" customWidth="1"/>
    <col min="9" max="9" width="8.73046875" style="17"/>
    <col min="10" max="10" width="41" style="17" hidden="1" customWidth="1"/>
    <col min="11" max="11" width="30" style="17" hidden="1" customWidth="1"/>
    <col min="12" max="12" width="47.3984375" style="17" hidden="1" customWidth="1"/>
    <col min="13" max="13" width="12.73046875" style="17" hidden="1" customWidth="1"/>
    <col min="14" max="14" width="28.3984375" style="17" hidden="1" customWidth="1"/>
    <col min="15" max="15" width="8.73046875" style="17" hidden="1" customWidth="1"/>
    <col min="16" max="16384" width="8.73046875" style="17"/>
  </cols>
  <sheetData>
    <row r="1" spans="2:15" hidden="1" x14ac:dyDescent="0.45">
      <c r="C1" s="17" t="s">
        <v>273</v>
      </c>
      <c r="D1" s="17" t="s">
        <v>184</v>
      </c>
      <c r="E1" s="17" t="s">
        <v>274</v>
      </c>
    </row>
    <row r="2" spans="2:15" ht="48" customHeight="1" x14ac:dyDescent="0.45"/>
    <row r="3" spans="2:15" ht="25.5" x14ac:dyDescent="0.75">
      <c r="B3" s="53" t="s">
        <v>275</v>
      </c>
    </row>
    <row r="4" spans="2:15" ht="25.5" x14ac:dyDescent="0.75">
      <c r="B4" s="53" t="s">
        <v>276</v>
      </c>
    </row>
    <row r="5" spans="2:15" ht="18.399999999999999" thickBot="1" x14ac:dyDescent="0.6">
      <c r="B5" s="79" t="s">
        <v>277</v>
      </c>
    </row>
    <row r="6" spans="2:15" ht="14.65" thickBot="1" x14ac:dyDescent="0.5">
      <c r="B6" s="32" t="s">
        <v>278</v>
      </c>
      <c r="C6" s="33"/>
      <c r="D6" s="33"/>
      <c r="E6" s="33"/>
      <c r="F6" s="33"/>
      <c r="G6" s="33"/>
      <c r="H6" s="34"/>
      <c r="J6" s="32" t="s">
        <v>279</v>
      </c>
      <c r="K6" s="33"/>
      <c r="L6" s="33"/>
      <c r="M6" s="33"/>
      <c r="N6" s="33"/>
      <c r="O6" s="34"/>
    </row>
    <row r="7" spans="2:15" x14ac:dyDescent="0.45">
      <c r="B7" s="20">
        <v>1</v>
      </c>
      <c r="C7" s="27" t="s">
        <v>280</v>
      </c>
      <c r="D7" s="28"/>
      <c r="E7" s="28"/>
      <c r="F7" s="28"/>
      <c r="G7" s="28"/>
      <c r="H7" s="29"/>
      <c r="J7" s="50"/>
      <c r="K7" s="49"/>
      <c r="L7" s="49"/>
      <c r="M7" s="49"/>
      <c r="N7" s="49"/>
      <c r="O7" s="51"/>
    </row>
    <row r="8" spans="2:15" x14ac:dyDescent="0.45">
      <c r="B8" s="21">
        <v>2</v>
      </c>
      <c r="C8" s="2" t="s">
        <v>281</v>
      </c>
      <c r="D8" s="22"/>
      <c r="E8" s="22"/>
      <c r="F8" s="22"/>
      <c r="G8" s="22"/>
      <c r="H8" s="23"/>
      <c r="J8" s="50"/>
      <c r="K8" s="49"/>
      <c r="L8" s="49"/>
      <c r="M8" s="49"/>
      <c r="N8" s="49"/>
      <c r="O8" s="51"/>
    </row>
    <row r="9" spans="2:15" ht="14.1" customHeight="1" x14ac:dyDescent="0.45">
      <c r="B9" s="21">
        <v>3</v>
      </c>
      <c r="C9" s="2" t="s">
        <v>282</v>
      </c>
      <c r="D9" s="22"/>
      <c r="E9" s="22"/>
      <c r="F9" s="22"/>
      <c r="G9" s="22"/>
      <c r="H9" s="23"/>
      <c r="J9" s="50"/>
      <c r="K9" s="5" t="s">
        <v>283</v>
      </c>
      <c r="L9" s="5" t="s">
        <v>284</v>
      </c>
      <c r="M9" s="5" t="s">
        <v>285</v>
      </c>
      <c r="N9" s="5"/>
      <c r="O9" s="51"/>
    </row>
    <row r="10" spans="2:15" ht="14.1" customHeight="1" x14ac:dyDescent="0.45">
      <c r="B10" s="21">
        <v>4</v>
      </c>
      <c r="C10" s="42" t="s">
        <v>286</v>
      </c>
      <c r="D10" s="42"/>
      <c r="E10" s="42"/>
      <c r="F10" s="42"/>
      <c r="G10" s="42"/>
      <c r="H10" s="81"/>
      <c r="J10" s="50"/>
      <c r="K10" s="35" t="s">
        <v>287</v>
      </c>
      <c r="L10" s="35" t="s">
        <v>288</v>
      </c>
      <c r="M10" s="35" t="s">
        <v>289</v>
      </c>
      <c r="N10" s="35" t="s">
        <v>290</v>
      </c>
      <c r="O10" s="51"/>
    </row>
    <row r="11" spans="2:15" s="49" customFormat="1" ht="14.1" customHeight="1" x14ac:dyDescent="0.45">
      <c r="B11" s="21">
        <v>5</v>
      </c>
      <c r="C11" s="80" t="s">
        <v>291</v>
      </c>
      <c r="D11" s="80"/>
      <c r="E11" s="80"/>
      <c r="F11" s="80"/>
      <c r="G11" s="80"/>
      <c r="H11" s="45"/>
      <c r="J11" s="50"/>
      <c r="K11" s="35" t="s">
        <v>292</v>
      </c>
      <c r="L11" s="35" t="s">
        <v>293</v>
      </c>
      <c r="M11" s="35"/>
      <c r="N11" s="35" t="s">
        <v>294</v>
      </c>
      <c r="O11" s="51"/>
    </row>
    <row r="12" spans="2:15" ht="14.1" customHeight="1" x14ac:dyDescent="0.45">
      <c r="B12" s="21"/>
      <c r="C12" s="2" t="s">
        <v>295</v>
      </c>
      <c r="D12" s="22"/>
      <c r="E12" s="22"/>
      <c r="F12" s="22"/>
      <c r="G12" s="22"/>
      <c r="H12" s="23"/>
      <c r="J12" s="50"/>
      <c r="K12" s="35" t="s">
        <v>296</v>
      </c>
      <c r="L12" s="35" t="s">
        <v>297</v>
      </c>
      <c r="M12" s="35"/>
      <c r="N12" s="35" t="s">
        <v>298</v>
      </c>
      <c r="O12" s="51"/>
    </row>
    <row r="13" spans="2:15" ht="14.1" customHeight="1" x14ac:dyDescent="0.45">
      <c r="B13" s="21">
        <v>6</v>
      </c>
      <c r="C13" s="2" t="s">
        <v>299</v>
      </c>
      <c r="D13" s="22"/>
      <c r="E13" s="22"/>
      <c r="F13" s="22"/>
      <c r="G13" s="22"/>
      <c r="H13" s="23"/>
      <c r="J13" s="50"/>
      <c r="K13" s="35" t="s">
        <v>300</v>
      </c>
      <c r="L13" s="35" t="s">
        <v>301</v>
      </c>
      <c r="M13" s="35"/>
      <c r="N13" s="35" t="s">
        <v>302</v>
      </c>
      <c r="O13" s="51"/>
    </row>
    <row r="14" spans="2:15" ht="14.1" customHeight="1" x14ac:dyDescent="0.45">
      <c r="B14" s="21">
        <v>7</v>
      </c>
      <c r="C14" s="2" t="s">
        <v>303</v>
      </c>
      <c r="D14" s="22"/>
      <c r="E14" s="22"/>
      <c r="F14" s="22"/>
      <c r="G14" s="22"/>
      <c r="H14" s="23"/>
      <c r="J14" s="50"/>
      <c r="K14" s="35" t="s">
        <v>304</v>
      </c>
      <c r="L14" s="35" t="s">
        <v>305</v>
      </c>
      <c r="M14" s="35"/>
      <c r="N14" s="35" t="s">
        <v>306</v>
      </c>
      <c r="O14" s="51"/>
    </row>
    <row r="15" spans="2:15" x14ac:dyDescent="0.45">
      <c r="B15" s="21"/>
      <c r="C15" s="2" t="s">
        <v>307</v>
      </c>
      <c r="D15" s="22"/>
      <c r="E15" s="22"/>
      <c r="F15" s="22"/>
      <c r="G15" s="22"/>
      <c r="H15" s="23"/>
      <c r="J15" s="50"/>
      <c r="K15" s="35"/>
      <c r="L15" s="35" t="s">
        <v>308</v>
      </c>
      <c r="M15" s="35"/>
      <c r="N15" s="35" t="s">
        <v>309</v>
      </c>
      <c r="O15" s="51"/>
    </row>
    <row r="16" spans="2:15" x14ac:dyDescent="0.45">
      <c r="B16" s="21">
        <v>8</v>
      </c>
      <c r="C16" s="2" t="s">
        <v>310</v>
      </c>
      <c r="D16" s="22"/>
      <c r="E16" s="22"/>
      <c r="F16" s="22"/>
      <c r="G16" s="22"/>
      <c r="H16" s="23"/>
      <c r="J16" s="50"/>
      <c r="K16" s="35"/>
      <c r="L16" s="35" t="s">
        <v>311</v>
      </c>
      <c r="M16" s="35" t="s">
        <v>312</v>
      </c>
      <c r="N16" s="35" t="s">
        <v>313</v>
      </c>
      <c r="O16" s="51"/>
    </row>
    <row r="17" spans="2:15" ht="14.65" thickBot="1" x14ac:dyDescent="0.5">
      <c r="B17" s="24" t="s">
        <v>314</v>
      </c>
      <c r="C17" s="31" t="s">
        <v>315</v>
      </c>
      <c r="D17" s="25"/>
      <c r="E17" s="25"/>
      <c r="F17" s="25"/>
      <c r="G17" s="25"/>
      <c r="H17" s="26"/>
      <c r="J17" s="50"/>
      <c r="K17" s="35"/>
      <c r="L17" s="35" t="s">
        <v>316</v>
      </c>
      <c r="M17" s="35"/>
      <c r="N17" s="35"/>
      <c r="O17" s="51"/>
    </row>
    <row r="18" spans="2:15" ht="18" customHeight="1" x14ac:dyDescent="0.45">
      <c r="J18" s="133"/>
      <c r="K18" s="35"/>
      <c r="L18" s="35" t="s">
        <v>317</v>
      </c>
      <c r="M18" s="35"/>
      <c r="N18" s="35"/>
      <c r="O18" s="51"/>
    </row>
    <row r="19" spans="2:15" ht="18" customHeight="1" thickBot="1" x14ac:dyDescent="0.5">
      <c r="B19" s="46" t="s">
        <v>318</v>
      </c>
      <c r="J19" s="133"/>
      <c r="K19" s="35"/>
      <c r="L19" s="35" t="s">
        <v>319</v>
      </c>
      <c r="M19" s="35"/>
      <c r="N19" s="35"/>
      <c r="O19" s="137"/>
    </row>
    <row r="20" spans="2:15" ht="18" customHeight="1" thickBot="1" x14ac:dyDescent="0.5">
      <c r="B20" s="54" t="s">
        <v>0</v>
      </c>
      <c r="C20" s="61"/>
      <c r="D20" s="132" t="s">
        <v>320</v>
      </c>
      <c r="E20" s="58"/>
      <c r="J20" s="134"/>
      <c r="K20" s="135"/>
      <c r="L20" s="135"/>
      <c r="M20" s="135"/>
      <c r="N20" s="135"/>
      <c r="O20" s="136"/>
    </row>
    <row r="21" spans="2:15" x14ac:dyDescent="0.45">
      <c r="B21" s="55" t="s">
        <v>321</v>
      </c>
      <c r="C21" s="49"/>
      <c r="D21" s="82">
        <v>2020</v>
      </c>
      <c r="E21" s="59"/>
      <c r="J21"/>
      <c r="K21"/>
      <c r="L21"/>
      <c r="M21"/>
      <c r="N21"/>
      <c r="O21"/>
    </row>
    <row r="22" spans="2:15" x14ac:dyDescent="0.45">
      <c r="B22" s="55" t="s">
        <v>322</v>
      </c>
      <c r="C22" s="49"/>
      <c r="D22" s="82">
        <v>2021</v>
      </c>
      <c r="E22" s="57"/>
      <c r="J22"/>
      <c r="K22"/>
      <c r="L22"/>
      <c r="M22"/>
      <c r="N22"/>
      <c r="O22"/>
    </row>
    <row r="23" spans="2:15" x14ac:dyDescent="0.45">
      <c r="B23" s="55" t="s">
        <v>323</v>
      </c>
      <c r="C23" s="49"/>
      <c r="D23" s="83" t="s">
        <v>324</v>
      </c>
      <c r="E23" s="49"/>
    </row>
    <row r="24" spans="2:15" ht="14.65" thickBot="1" x14ac:dyDescent="0.5">
      <c r="B24" s="56" t="s">
        <v>4</v>
      </c>
      <c r="C24" s="52"/>
      <c r="D24" s="84" t="e">
        <f>IF(MAX('Table 1'!C4,'Table 2'!C4,'Table 3'!E4,'Table 3'!E4,'Table 4'!C4,'Table 5'!C4,'Table 6'!C4,'Table 7.1'!C4,'Table 7.2'!C4,'Table 8'!C4,'Table 9'!C4,'Table 10'!C4,#REF!,'Table 12'!C4) = 0, "Will update once date modified is added to individual tables", MAX('Table 1'!C4,'Table 2'!C4,'Table 3'!E4,'Table 3'!E4,'Table 4'!C4,'Table 5'!C4,'Table 6'!C4,'Table 7.1'!C4,'Table 7.2'!C4,'Table 8'!C4,'Table 9'!C4,'Table 10'!C4,#REF!,'Table 12'!C4))</f>
        <v>#REF!</v>
      </c>
    </row>
  </sheetData>
  <pageMargins left="0.45" right="0.45" top="0.5" bottom="0.5" header="0.3" footer="0.3"/>
  <pageSetup paperSize="5" scale="77" fitToHeight="0" orientation="landscape" r:id="rId1"/>
  <customProperties>
    <customPr name="_pios_id"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D144B-5DF5-4377-A222-6336634C6415}">
  <sheetPr codeName="Sheet10">
    <pageSetUpPr fitToPage="1"/>
  </sheetPr>
  <dimension ref="A1:AM56"/>
  <sheetViews>
    <sheetView view="pageLayout" topLeftCell="A15" zoomScale="75" zoomScaleNormal="100" zoomScalePageLayoutView="75" workbookViewId="0">
      <selection activeCell="AB34" sqref="AB34"/>
    </sheetView>
  </sheetViews>
  <sheetFormatPr defaultColWidth="9.265625" defaultRowHeight="14.25" outlineLevelCol="1" x14ac:dyDescent="0.45"/>
  <cols>
    <col min="1" max="1" width="5.59765625" style="8" customWidth="1"/>
    <col min="2" max="2" width="32.3984375" style="1" customWidth="1"/>
    <col min="3" max="3" width="10.1328125" style="8" customWidth="1"/>
    <col min="4" max="4" width="63.265625" style="8" customWidth="1"/>
    <col min="5" max="5" width="10.86328125" style="8" hidden="1" customWidth="1"/>
    <col min="6" max="6" width="12.3984375" style="8" hidden="1" customWidth="1"/>
    <col min="7" max="8" width="11.3984375" style="8" hidden="1" customWidth="1"/>
    <col min="9" max="9" width="10.86328125" style="8" hidden="1" customWidth="1"/>
    <col min="10" max="10" width="12.3984375" style="8" hidden="1" customWidth="1"/>
    <col min="11" max="12" width="11.3984375" style="8" hidden="1" customWidth="1"/>
    <col min="13" max="13" width="10.86328125" style="8" hidden="1" customWidth="1"/>
    <col min="14" max="14" width="12.3984375" style="8" hidden="1" customWidth="1"/>
    <col min="15" max="16" width="11.3984375" style="8" hidden="1" customWidth="1"/>
    <col min="17" max="17" width="10.86328125" style="8" hidden="1" customWidth="1"/>
    <col min="18" max="18" width="12.3984375" style="8" hidden="1" customWidth="1"/>
    <col min="19" max="20" width="11.3984375" style="8" hidden="1" customWidth="1"/>
    <col min="21" max="21" width="10.86328125" style="8" hidden="1" customWidth="1"/>
    <col min="22" max="22" width="12.3984375" style="8" hidden="1" customWidth="1"/>
    <col min="23" max="24" width="11.3984375" style="8" hidden="1" customWidth="1"/>
    <col min="25" max="28" width="14.73046875" style="8" customWidth="1"/>
    <col min="29" max="29" width="18.1328125" style="8" customWidth="1"/>
    <col min="30" max="30" width="14.73046875" style="8" hidden="1" customWidth="1" outlineLevel="1"/>
    <col min="31" max="31" width="12.3984375" style="8" hidden="1" customWidth="1" outlineLevel="1"/>
    <col min="32" max="33" width="11.3984375" style="8" hidden="1" customWidth="1" outlineLevel="1"/>
    <col min="34" max="34" width="10.86328125" style="8" hidden="1" customWidth="1" outlineLevel="1"/>
    <col min="35" max="35" width="12.3984375" style="8" hidden="1" customWidth="1" outlineLevel="1"/>
    <col min="36" max="37" width="11.3984375" style="8" hidden="1" customWidth="1" outlineLevel="1"/>
    <col min="38" max="38" width="66.265625" style="1" customWidth="1" collapsed="1"/>
    <col min="39" max="39" width="13.3984375" style="8" customWidth="1"/>
    <col min="40" max="16384" width="9.265625" style="8"/>
  </cols>
  <sheetData>
    <row r="1" spans="1:39" ht="14.65" thickBot="1" x14ac:dyDescent="0.5"/>
    <row r="2" spans="1:39" x14ac:dyDescent="0.45">
      <c r="B2" s="14" t="s">
        <v>0</v>
      </c>
      <c r="C2" s="19" t="str">
        <f>IF('Quarterly Submission Guide'!$D$20 = "", "",'Quarterly Submission Guide'!$D$20)</f>
        <v>SDG&amp;E</v>
      </c>
    </row>
    <row r="3" spans="1:39" x14ac:dyDescent="0.45">
      <c r="B3" s="15" t="s">
        <v>2</v>
      </c>
      <c r="C3" s="13">
        <v>8</v>
      </c>
    </row>
    <row r="4" spans="1:39" ht="14.65" thickBot="1" x14ac:dyDescent="0.5">
      <c r="B4" s="16" t="s">
        <v>4</v>
      </c>
      <c r="C4" s="30">
        <v>44232</v>
      </c>
    </row>
    <row r="5" spans="1:39" x14ac:dyDescent="0.45">
      <c r="AD5" s="62" t="s">
        <v>5</v>
      </c>
    </row>
    <row r="6" spans="1:39" ht="18" customHeight="1" x14ac:dyDescent="0.45">
      <c r="B6" s="3" t="s">
        <v>604</v>
      </c>
      <c r="C6" s="2"/>
      <c r="D6" s="2"/>
      <c r="E6" s="2" t="s">
        <v>582</v>
      </c>
      <c r="F6" s="2" t="s">
        <v>583</v>
      </c>
      <c r="G6" s="2" t="s">
        <v>584</v>
      </c>
      <c r="H6" s="2" t="s">
        <v>585</v>
      </c>
      <c r="I6" s="2" t="s">
        <v>582</v>
      </c>
      <c r="J6" s="2" t="s">
        <v>583</v>
      </c>
      <c r="K6" s="2" t="s">
        <v>584</v>
      </c>
      <c r="L6" s="2" t="s">
        <v>585</v>
      </c>
      <c r="M6" s="2" t="s">
        <v>582</v>
      </c>
      <c r="N6" s="2" t="s">
        <v>583</v>
      </c>
      <c r="O6" s="2" t="s">
        <v>584</v>
      </c>
      <c r="P6" s="2" t="s">
        <v>585</v>
      </c>
      <c r="Q6" s="2" t="s">
        <v>582</v>
      </c>
      <c r="R6" s="2" t="s">
        <v>583</v>
      </c>
      <c r="S6" s="2" t="s">
        <v>584</v>
      </c>
      <c r="T6" s="2" t="s">
        <v>585</v>
      </c>
      <c r="U6" s="2" t="s">
        <v>582</v>
      </c>
      <c r="V6" s="2" t="s">
        <v>583</v>
      </c>
      <c r="W6" s="2" t="s">
        <v>584</v>
      </c>
      <c r="X6" s="2" t="s">
        <v>585</v>
      </c>
      <c r="Y6" s="2" t="s">
        <v>582</v>
      </c>
      <c r="Z6" s="2" t="s">
        <v>583</v>
      </c>
      <c r="AA6" s="2" t="s">
        <v>584</v>
      </c>
      <c r="AB6" s="2" t="s">
        <v>585</v>
      </c>
      <c r="AC6" s="2" t="s">
        <v>605</v>
      </c>
      <c r="AD6" s="2" t="s">
        <v>582</v>
      </c>
      <c r="AE6" s="2" t="s">
        <v>583</v>
      </c>
      <c r="AF6" s="2" t="s">
        <v>584</v>
      </c>
      <c r="AG6" s="2" t="s">
        <v>585</v>
      </c>
      <c r="AH6" s="2" t="s">
        <v>582</v>
      </c>
      <c r="AI6" s="2" t="s">
        <v>583</v>
      </c>
      <c r="AJ6" s="2" t="s">
        <v>584</v>
      </c>
      <c r="AK6" s="2" t="s">
        <v>585</v>
      </c>
      <c r="AL6" s="7"/>
      <c r="AM6" s="2"/>
    </row>
    <row r="7" spans="1:39" x14ac:dyDescent="0.45">
      <c r="B7" s="5" t="s">
        <v>7</v>
      </c>
      <c r="C7" s="6" t="s">
        <v>8</v>
      </c>
      <c r="D7" s="6" t="s">
        <v>104</v>
      </c>
      <c r="E7" s="6">
        <v>2015</v>
      </c>
      <c r="F7" s="6">
        <v>2015</v>
      </c>
      <c r="G7" s="6">
        <v>2015</v>
      </c>
      <c r="H7" s="6">
        <v>2015</v>
      </c>
      <c r="I7" s="6">
        <v>2016</v>
      </c>
      <c r="J7" s="6">
        <v>2016</v>
      </c>
      <c r="K7" s="6">
        <v>2016</v>
      </c>
      <c r="L7" s="6">
        <v>2016</v>
      </c>
      <c r="M7" s="6">
        <v>2017</v>
      </c>
      <c r="N7" s="6">
        <v>2017</v>
      </c>
      <c r="O7" s="6">
        <v>2017</v>
      </c>
      <c r="P7" s="6">
        <v>2017</v>
      </c>
      <c r="Q7" s="6">
        <v>2018</v>
      </c>
      <c r="R7" s="6">
        <v>2018</v>
      </c>
      <c r="S7" s="6">
        <v>2018</v>
      </c>
      <c r="T7" s="6">
        <v>2018</v>
      </c>
      <c r="U7" s="6">
        <v>2019</v>
      </c>
      <c r="V7" s="6">
        <v>2019</v>
      </c>
      <c r="W7" s="6">
        <v>2019</v>
      </c>
      <c r="X7" s="6">
        <v>2019</v>
      </c>
      <c r="Y7" s="6">
        <v>2020</v>
      </c>
      <c r="Z7" s="6">
        <v>2020</v>
      </c>
      <c r="AA7" s="6">
        <v>2020</v>
      </c>
      <c r="AB7" s="6">
        <v>2020</v>
      </c>
      <c r="AC7" s="6">
        <v>2020</v>
      </c>
      <c r="AD7" s="6">
        <v>2021</v>
      </c>
      <c r="AE7" s="6">
        <v>2021</v>
      </c>
      <c r="AF7" s="6">
        <v>2021</v>
      </c>
      <c r="AG7" s="6">
        <v>2021</v>
      </c>
      <c r="AH7" s="6">
        <v>2022</v>
      </c>
      <c r="AI7" s="6">
        <v>2022</v>
      </c>
      <c r="AJ7" s="6">
        <v>2022</v>
      </c>
      <c r="AK7" s="6">
        <v>2022</v>
      </c>
      <c r="AL7" s="5" t="s">
        <v>10</v>
      </c>
      <c r="AM7" s="6" t="s">
        <v>11</v>
      </c>
    </row>
    <row r="8" spans="1:39" s="198" customFormat="1" ht="28.5" x14ac:dyDescent="0.45">
      <c r="A8" s="198" t="s">
        <v>333</v>
      </c>
      <c r="B8" s="37" t="s">
        <v>606</v>
      </c>
      <c r="C8" s="9" t="s">
        <v>13</v>
      </c>
      <c r="D8" s="12" t="s">
        <v>607</v>
      </c>
      <c r="E8" s="110"/>
      <c r="F8" s="110"/>
      <c r="G8" s="110"/>
      <c r="H8" s="110"/>
      <c r="I8" s="110"/>
      <c r="J8" s="110"/>
      <c r="K8" s="110"/>
      <c r="L8" s="110"/>
      <c r="M8" s="110"/>
      <c r="N8" s="110"/>
      <c r="O8" s="110"/>
      <c r="P8" s="110"/>
      <c r="Q8" s="110"/>
      <c r="R8" s="110"/>
      <c r="S8" s="110"/>
      <c r="T8" s="110"/>
      <c r="U8" s="110"/>
      <c r="V8" s="110"/>
      <c r="W8" s="110"/>
      <c r="X8" s="110"/>
      <c r="Y8" s="241">
        <v>9276.8924239999997</v>
      </c>
      <c r="Z8" s="241">
        <v>0.122537879</v>
      </c>
      <c r="AA8" s="241">
        <v>1113.7467799999999</v>
      </c>
      <c r="AB8" s="241">
        <v>5.6534090910000003</v>
      </c>
      <c r="AC8" s="242">
        <f>AA8+AB8</f>
        <v>1119.4001890909999</v>
      </c>
      <c r="AD8" s="115"/>
      <c r="AE8" s="115"/>
      <c r="AF8" s="115"/>
      <c r="AG8" s="115"/>
      <c r="AH8" s="115"/>
      <c r="AI8" s="115"/>
      <c r="AJ8" s="115"/>
      <c r="AK8" s="115"/>
      <c r="AL8" s="39" t="s">
        <v>608</v>
      </c>
      <c r="AM8" s="115"/>
    </row>
    <row r="9" spans="1:39" s="198" customFormat="1" x14ac:dyDescent="0.45">
      <c r="B9" s="41"/>
      <c r="C9" s="10" t="s">
        <v>16</v>
      </c>
      <c r="D9" s="12" t="s">
        <v>609</v>
      </c>
      <c r="E9" s="111"/>
      <c r="F9" s="111"/>
      <c r="G9" s="111"/>
      <c r="H9" s="111"/>
      <c r="I9" s="111"/>
      <c r="J9" s="111"/>
      <c r="K9" s="111"/>
      <c r="L9" s="111"/>
      <c r="M9" s="111"/>
      <c r="N9" s="111"/>
      <c r="O9" s="111"/>
      <c r="P9" s="111"/>
      <c r="Q9" s="111"/>
      <c r="R9" s="111"/>
      <c r="S9" s="111"/>
      <c r="T9" s="111"/>
      <c r="U9" s="111"/>
      <c r="V9" s="111"/>
      <c r="W9" s="111"/>
      <c r="X9" s="111"/>
      <c r="Y9" s="242">
        <v>105.5829545</v>
      </c>
      <c r="Z9" s="242">
        <v>0</v>
      </c>
      <c r="AA9" s="242">
        <v>2.2797348479999999</v>
      </c>
      <c r="AB9" s="242">
        <v>0</v>
      </c>
      <c r="AC9" s="242">
        <f t="shared" ref="AC9:AC55" si="0">AA9+AB9</f>
        <v>2.2797348479999999</v>
      </c>
      <c r="AD9" s="117"/>
      <c r="AE9" s="117"/>
      <c r="AF9" s="117"/>
      <c r="AG9" s="117"/>
      <c r="AH9" s="117"/>
      <c r="AI9" s="117"/>
      <c r="AJ9" s="117"/>
      <c r="AK9" s="117"/>
      <c r="AL9" s="12" t="s">
        <v>609</v>
      </c>
      <c r="AM9" s="117"/>
    </row>
    <row r="10" spans="1:39" s="198" customFormat="1" x14ac:dyDescent="0.45">
      <c r="B10" s="38"/>
      <c r="C10" s="10" t="s">
        <v>18</v>
      </c>
      <c r="D10" s="12" t="s">
        <v>610</v>
      </c>
      <c r="E10" s="112"/>
      <c r="F10" s="112"/>
      <c r="G10" s="112"/>
      <c r="H10" s="112"/>
      <c r="I10" s="112"/>
      <c r="J10" s="112"/>
      <c r="K10" s="112"/>
      <c r="L10" s="112"/>
      <c r="M10" s="112"/>
      <c r="N10" s="112"/>
      <c r="O10" s="112"/>
      <c r="P10" s="112"/>
      <c r="Q10" s="112"/>
      <c r="R10" s="112"/>
      <c r="S10" s="112"/>
      <c r="T10" s="112"/>
      <c r="U10" s="112"/>
      <c r="V10" s="112"/>
      <c r="W10" s="112"/>
      <c r="X10" s="112"/>
      <c r="Y10" s="243">
        <v>13115</v>
      </c>
      <c r="Z10" s="243">
        <v>0</v>
      </c>
      <c r="AA10" s="243">
        <v>959</v>
      </c>
      <c r="AB10" s="243">
        <v>2</v>
      </c>
      <c r="AC10" s="242">
        <f t="shared" si="0"/>
        <v>961</v>
      </c>
      <c r="AD10" s="116"/>
      <c r="AE10" s="116"/>
      <c r="AF10" s="116"/>
      <c r="AG10" s="116"/>
      <c r="AH10" s="116"/>
      <c r="AI10" s="116"/>
      <c r="AJ10" s="116"/>
      <c r="AK10" s="116"/>
      <c r="AL10" s="12" t="s">
        <v>611</v>
      </c>
      <c r="AM10" s="116"/>
    </row>
    <row r="11" spans="1:39" s="198" customFormat="1" x14ac:dyDescent="0.45">
      <c r="B11" s="38"/>
      <c r="C11" s="10" t="s">
        <v>20</v>
      </c>
      <c r="D11" s="12" t="s">
        <v>612</v>
      </c>
      <c r="E11" s="112"/>
      <c r="F11" s="112"/>
      <c r="G11" s="112"/>
      <c r="H11" s="112"/>
      <c r="I11" s="112"/>
      <c r="J11" s="112"/>
      <c r="K11" s="112"/>
      <c r="L11" s="112"/>
      <c r="M11" s="112"/>
      <c r="N11" s="112"/>
      <c r="O11" s="112"/>
      <c r="P11" s="112"/>
      <c r="Q11" s="112"/>
      <c r="R11" s="112"/>
      <c r="S11" s="112"/>
      <c r="T11" s="112"/>
      <c r="U11" s="112"/>
      <c r="V11" s="112"/>
      <c r="W11" s="112"/>
      <c r="X11" s="112"/>
      <c r="Y11" s="243">
        <v>109</v>
      </c>
      <c r="Z11" s="243">
        <v>0</v>
      </c>
      <c r="AA11" s="243">
        <v>0</v>
      </c>
      <c r="AB11" s="243">
        <v>0</v>
      </c>
      <c r="AC11" s="242">
        <f t="shared" si="0"/>
        <v>0</v>
      </c>
      <c r="AD11" s="116"/>
      <c r="AE11" s="116"/>
      <c r="AF11" s="116"/>
      <c r="AG11" s="116"/>
      <c r="AH11" s="116"/>
      <c r="AI11" s="116"/>
      <c r="AJ11" s="116"/>
      <c r="AK11" s="116"/>
      <c r="AL11" s="12" t="s">
        <v>612</v>
      </c>
      <c r="AM11" s="116"/>
    </row>
    <row r="12" spans="1:39" s="198" customFormat="1" x14ac:dyDescent="0.45">
      <c r="B12" s="38"/>
      <c r="C12" s="10" t="s">
        <v>23</v>
      </c>
      <c r="D12" s="12" t="s">
        <v>613</v>
      </c>
      <c r="E12" s="112"/>
      <c r="F12" s="112"/>
      <c r="G12" s="112"/>
      <c r="H12" s="112"/>
      <c r="I12" s="112"/>
      <c r="J12" s="112"/>
      <c r="K12" s="112"/>
      <c r="L12" s="112"/>
      <c r="M12" s="112"/>
      <c r="N12" s="112"/>
      <c r="O12" s="112"/>
      <c r="P12" s="112"/>
      <c r="Q12" s="112"/>
      <c r="R12" s="112"/>
      <c r="S12" s="112"/>
      <c r="T12" s="112"/>
      <c r="U12" s="112"/>
      <c r="V12" s="112"/>
      <c r="W12" s="112"/>
      <c r="X12" s="112"/>
      <c r="Y12" s="243">
        <v>1037581</v>
      </c>
      <c r="Z12" s="243">
        <v>2</v>
      </c>
      <c r="AA12" s="243">
        <v>83589</v>
      </c>
      <c r="AB12" s="243">
        <v>115</v>
      </c>
      <c r="AC12" s="242">
        <f t="shared" si="0"/>
        <v>83704</v>
      </c>
      <c r="AD12" s="116"/>
      <c r="AE12" s="116"/>
      <c r="AF12" s="116"/>
      <c r="AG12" s="116"/>
      <c r="AH12" s="116"/>
      <c r="AI12" s="116"/>
      <c r="AJ12" s="116"/>
      <c r="AK12" s="116"/>
      <c r="AL12" s="12" t="s">
        <v>614</v>
      </c>
      <c r="AM12" s="116"/>
    </row>
    <row r="13" spans="1:39" s="198" customFormat="1" x14ac:dyDescent="0.45">
      <c r="B13" s="38"/>
      <c r="C13" s="10" t="s">
        <v>25</v>
      </c>
      <c r="D13" s="244" t="s">
        <v>615</v>
      </c>
      <c r="E13" s="112"/>
      <c r="F13" s="112"/>
      <c r="G13" s="112"/>
      <c r="H13" s="112"/>
      <c r="I13" s="112"/>
      <c r="J13" s="112"/>
      <c r="K13" s="112"/>
      <c r="L13" s="112"/>
      <c r="M13" s="112"/>
      <c r="N13" s="112"/>
      <c r="O13" s="112"/>
      <c r="P13" s="112"/>
      <c r="Q13" s="112"/>
      <c r="R13" s="112"/>
      <c r="S13" s="112"/>
      <c r="T13" s="112"/>
      <c r="U13" s="112"/>
      <c r="V13" s="112"/>
      <c r="W13" s="112"/>
      <c r="X13" s="112"/>
      <c r="Y13" s="243">
        <v>5445</v>
      </c>
      <c r="Z13" s="243">
        <v>2</v>
      </c>
      <c r="AA13" s="243">
        <v>0</v>
      </c>
      <c r="AB13" s="243">
        <v>0</v>
      </c>
      <c r="AC13" s="242">
        <f t="shared" si="0"/>
        <v>0</v>
      </c>
      <c r="AD13" s="116"/>
      <c r="AE13" s="116"/>
      <c r="AF13" s="116"/>
      <c r="AG13" s="116"/>
      <c r="AH13" s="116"/>
      <c r="AI13" s="116"/>
      <c r="AJ13" s="116"/>
      <c r="AK13" s="116"/>
      <c r="AL13" s="240" t="s">
        <v>615</v>
      </c>
      <c r="AM13" s="116"/>
    </row>
    <row r="14" spans="1:39" s="198" customFormat="1" ht="28.5" x14ac:dyDescent="0.45">
      <c r="B14" s="38"/>
      <c r="C14" s="10" t="s">
        <v>27</v>
      </c>
      <c r="D14" s="244" t="s">
        <v>616</v>
      </c>
      <c r="E14" s="112"/>
      <c r="F14" s="112"/>
      <c r="G14" s="112"/>
      <c r="H14" s="112"/>
      <c r="I14" s="112"/>
      <c r="J14" s="112"/>
      <c r="K14" s="112"/>
      <c r="L14" s="112"/>
      <c r="M14" s="112"/>
      <c r="N14" s="112"/>
      <c r="O14" s="112"/>
      <c r="P14" s="112"/>
      <c r="Q14" s="112"/>
      <c r="R14" s="112"/>
      <c r="S14" s="112"/>
      <c r="T14" s="112"/>
      <c r="U14" s="112"/>
      <c r="V14" s="112"/>
      <c r="W14" s="112"/>
      <c r="X14" s="112"/>
      <c r="Y14" s="243">
        <v>40564</v>
      </c>
      <c r="Z14" s="243">
        <v>0</v>
      </c>
      <c r="AA14" s="243">
        <v>3678</v>
      </c>
      <c r="AB14" s="243">
        <v>14</v>
      </c>
      <c r="AC14" s="242">
        <f t="shared" si="0"/>
        <v>3692</v>
      </c>
      <c r="AD14" s="116"/>
      <c r="AE14" s="116"/>
      <c r="AF14" s="116"/>
      <c r="AG14" s="116"/>
      <c r="AH14" s="116"/>
      <c r="AI14" s="116"/>
      <c r="AJ14" s="116"/>
      <c r="AK14" s="116"/>
      <c r="AL14" s="12" t="s">
        <v>617</v>
      </c>
      <c r="AM14" s="116"/>
    </row>
    <row r="15" spans="1:39" s="198" customFormat="1" ht="28.5" x14ac:dyDescent="0.45">
      <c r="B15" s="38"/>
      <c r="C15" s="10" t="s">
        <v>29</v>
      </c>
      <c r="D15" s="244" t="s">
        <v>618</v>
      </c>
      <c r="E15" s="112"/>
      <c r="F15" s="112"/>
      <c r="G15" s="112"/>
      <c r="H15" s="112"/>
      <c r="I15" s="112"/>
      <c r="J15" s="112"/>
      <c r="K15" s="112"/>
      <c r="L15" s="112"/>
      <c r="M15" s="112"/>
      <c r="N15" s="112"/>
      <c r="O15" s="112"/>
      <c r="P15" s="112"/>
      <c r="Q15" s="112"/>
      <c r="R15" s="112"/>
      <c r="S15" s="112"/>
      <c r="T15" s="112"/>
      <c r="U15" s="112"/>
      <c r="V15" s="112"/>
      <c r="W15" s="112"/>
      <c r="X15" s="112"/>
      <c r="Y15" s="243">
        <v>171</v>
      </c>
      <c r="Z15" s="243">
        <v>0</v>
      </c>
      <c r="AA15" s="243">
        <v>0</v>
      </c>
      <c r="AB15" s="243">
        <v>0</v>
      </c>
      <c r="AC15" s="242">
        <f t="shared" si="0"/>
        <v>0</v>
      </c>
      <c r="AD15" s="116"/>
      <c r="AE15" s="116"/>
      <c r="AF15" s="116"/>
      <c r="AG15" s="116"/>
      <c r="AH15" s="116"/>
      <c r="AI15" s="116"/>
      <c r="AJ15" s="116"/>
      <c r="AK15" s="116"/>
      <c r="AL15" s="12" t="s">
        <v>618</v>
      </c>
      <c r="AM15" s="116"/>
    </row>
    <row r="16" spans="1:39" s="198" customFormat="1" x14ac:dyDescent="0.45">
      <c r="B16" s="38"/>
      <c r="C16" s="10" t="s">
        <v>31</v>
      </c>
      <c r="D16" s="12" t="s">
        <v>619</v>
      </c>
      <c r="E16" s="112"/>
      <c r="F16" s="112"/>
      <c r="G16" s="112"/>
      <c r="H16" s="112"/>
      <c r="I16" s="112"/>
      <c r="J16" s="112"/>
      <c r="K16" s="112"/>
      <c r="L16" s="112"/>
      <c r="M16" s="112"/>
      <c r="N16" s="112"/>
      <c r="O16" s="112"/>
      <c r="P16" s="112"/>
      <c r="Q16" s="112"/>
      <c r="R16" s="112"/>
      <c r="S16" s="112"/>
      <c r="T16" s="112"/>
      <c r="U16" s="112"/>
      <c r="V16" s="112"/>
      <c r="W16" s="112"/>
      <c r="X16" s="112"/>
      <c r="Y16" s="243">
        <v>429.18279769999998</v>
      </c>
      <c r="Z16" s="243">
        <v>0</v>
      </c>
      <c r="AA16" s="243">
        <v>110.69893070000001</v>
      </c>
      <c r="AB16" s="243">
        <v>0</v>
      </c>
      <c r="AC16" s="242">
        <f t="shared" si="0"/>
        <v>110.69893070000001</v>
      </c>
      <c r="AD16" s="116"/>
      <c r="AE16" s="116"/>
      <c r="AF16" s="116"/>
      <c r="AG16" s="116"/>
      <c r="AH16" s="116"/>
      <c r="AI16" s="116"/>
      <c r="AJ16" s="116"/>
      <c r="AK16" s="116"/>
      <c r="AL16" s="12" t="s">
        <v>620</v>
      </c>
      <c r="AM16" s="116"/>
    </row>
    <row r="17" spans="1:39" s="198" customFormat="1" x14ac:dyDescent="0.45">
      <c r="B17" s="38"/>
      <c r="C17" s="10" t="s">
        <v>33</v>
      </c>
      <c r="D17" s="12" t="s">
        <v>621</v>
      </c>
      <c r="E17" s="112"/>
      <c r="F17" s="112"/>
      <c r="G17" s="112"/>
      <c r="H17" s="112"/>
      <c r="I17" s="112"/>
      <c r="J17" s="112"/>
      <c r="K17" s="112"/>
      <c r="L17" s="112"/>
      <c r="M17" s="112"/>
      <c r="N17" s="112"/>
      <c r="O17" s="112"/>
      <c r="P17" s="112"/>
      <c r="Q17" s="112"/>
      <c r="R17" s="112"/>
      <c r="S17" s="112"/>
      <c r="T17" s="112"/>
      <c r="U17" s="112"/>
      <c r="V17" s="112"/>
      <c r="W17" s="112"/>
      <c r="X17" s="112"/>
      <c r="Y17" s="243">
        <v>33.938727270000001</v>
      </c>
      <c r="Z17" s="243">
        <v>0</v>
      </c>
      <c r="AA17" s="243">
        <v>1.664128788</v>
      </c>
      <c r="AB17" s="243">
        <v>0</v>
      </c>
      <c r="AC17" s="242">
        <f t="shared" si="0"/>
        <v>1.664128788</v>
      </c>
      <c r="AD17" s="116"/>
      <c r="AE17" s="116"/>
      <c r="AF17" s="116"/>
      <c r="AG17" s="116"/>
      <c r="AH17" s="116"/>
      <c r="AI17" s="116"/>
      <c r="AJ17" s="116"/>
      <c r="AK17" s="116"/>
      <c r="AL17" s="12" t="s">
        <v>621</v>
      </c>
      <c r="AM17" s="116"/>
    </row>
    <row r="18" spans="1:39" s="198" customFormat="1" x14ac:dyDescent="0.45">
      <c r="B18" s="38"/>
      <c r="C18" s="10" t="s">
        <v>36</v>
      </c>
      <c r="D18" s="12" t="s">
        <v>622</v>
      </c>
      <c r="E18" s="112"/>
      <c r="F18" s="112"/>
      <c r="G18" s="112"/>
      <c r="H18" s="112"/>
      <c r="I18" s="112"/>
      <c r="J18" s="112"/>
      <c r="K18" s="112"/>
      <c r="L18" s="112"/>
      <c r="M18" s="112"/>
      <c r="N18" s="112"/>
      <c r="O18" s="112"/>
      <c r="P18" s="112"/>
      <c r="Q18" s="112"/>
      <c r="R18" s="112"/>
      <c r="S18" s="112"/>
      <c r="T18" s="112"/>
      <c r="U18" s="112"/>
      <c r="V18" s="112"/>
      <c r="W18" s="112"/>
      <c r="X18" s="112"/>
      <c r="Y18" s="243">
        <v>2498.9570079999999</v>
      </c>
      <c r="Z18" s="243">
        <v>0.122537879</v>
      </c>
      <c r="AA18" s="243">
        <v>181.38295450000001</v>
      </c>
      <c r="AB18" s="243">
        <v>5.1714015150000003</v>
      </c>
      <c r="AC18" s="242">
        <f t="shared" si="0"/>
        <v>186.55435601500002</v>
      </c>
      <c r="AD18" s="116"/>
      <c r="AE18" s="116"/>
      <c r="AF18" s="116"/>
      <c r="AG18" s="116"/>
      <c r="AH18" s="116"/>
      <c r="AI18" s="116"/>
      <c r="AJ18" s="116"/>
      <c r="AK18" s="116"/>
      <c r="AL18" s="12" t="s">
        <v>623</v>
      </c>
      <c r="AM18" s="116"/>
    </row>
    <row r="19" spans="1:39" s="198" customFormat="1" x14ac:dyDescent="0.45">
      <c r="B19" s="38"/>
      <c r="C19" s="10" t="s">
        <v>38</v>
      </c>
      <c r="D19" s="12" t="s">
        <v>624</v>
      </c>
      <c r="E19" s="112"/>
      <c r="F19" s="112"/>
      <c r="G19" s="112"/>
      <c r="H19" s="112"/>
      <c r="I19" s="112"/>
      <c r="J19" s="112"/>
      <c r="K19" s="112"/>
      <c r="L19" s="112"/>
      <c r="M19" s="112"/>
      <c r="N19" s="112"/>
      <c r="O19" s="112"/>
      <c r="P19" s="112"/>
      <c r="Q19" s="112"/>
      <c r="R19" s="112"/>
      <c r="S19" s="112"/>
      <c r="T19" s="112"/>
      <c r="U19" s="112"/>
      <c r="V19" s="112"/>
      <c r="W19" s="112"/>
      <c r="X19" s="112"/>
      <c r="Y19" s="243">
        <v>41.638825760000003</v>
      </c>
      <c r="Z19" s="243">
        <v>0</v>
      </c>
      <c r="AA19" s="243">
        <v>9.4886364000000001E-2</v>
      </c>
      <c r="AB19" s="243">
        <v>0</v>
      </c>
      <c r="AC19" s="242">
        <f t="shared" si="0"/>
        <v>9.4886364000000001E-2</v>
      </c>
      <c r="AD19" s="116"/>
      <c r="AE19" s="116"/>
      <c r="AF19" s="116"/>
      <c r="AG19" s="116"/>
      <c r="AH19" s="116"/>
      <c r="AI19" s="116"/>
      <c r="AJ19" s="116"/>
      <c r="AK19" s="116"/>
      <c r="AL19" s="12" t="s">
        <v>624</v>
      </c>
      <c r="AM19" s="116"/>
    </row>
    <row r="20" spans="1:39" s="198" customFormat="1" x14ac:dyDescent="0.45">
      <c r="B20" s="38"/>
      <c r="C20" s="10" t="s">
        <v>625</v>
      </c>
      <c r="D20" s="12" t="s">
        <v>626</v>
      </c>
      <c r="E20" s="112"/>
      <c r="F20" s="112"/>
      <c r="G20" s="112"/>
      <c r="H20" s="112"/>
      <c r="I20" s="112"/>
      <c r="J20" s="112"/>
      <c r="K20" s="112"/>
      <c r="L20" s="112"/>
      <c r="M20" s="112"/>
      <c r="N20" s="112"/>
      <c r="O20" s="112"/>
      <c r="P20" s="112"/>
      <c r="Q20" s="112"/>
      <c r="R20" s="112"/>
      <c r="S20" s="112"/>
      <c r="T20" s="112"/>
      <c r="U20" s="112"/>
      <c r="V20" s="112"/>
      <c r="W20" s="112"/>
      <c r="X20" s="112"/>
      <c r="Y20" s="243">
        <v>79</v>
      </c>
      <c r="Z20" s="243">
        <v>0</v>
      </c>
      <c r="AA20" s="243">
        <v>6</v>
      </c>
      <c r="AB20" s="243">
        <v>0</v>
      </c>
      <c r="AC20" s="242">
        <f t="shared" si="0"/>
        <v>6</v>
      </c>
      <c r="AD20" s="116"/>
      <c r="AE20" s="116"/>
      <c r="AF20" s="116"/>
      <c r="AG20" s="116"/>
      <c r="AH20" s="116"/>
      <c r="AI20" s="116"/>
      <c r="AJ20" s="116"/>
      <c r="AK20" s="116"/>
      <c r="AL20" s="12" t="s">
        <v>627</v>
      </c>
      <c r="AM20" s="116"/>
    </row>
    <row r="21" spans="1:39" s="198" customFormat="1" x14ac:dyDescent="0.45">
      <c r="B21" s="38"/>
      <c r="C21" s="10" t="s">
        <v>628</v>
      </c>
      <c r="D21" s="12" t="s">
        <v>629</v>
      </c>
      <c r="E21" s="112"/>
      <c r="F21" s="112"/>
      <c r="G21" s="112"/>
      <c r="H21" s="112"/>
      <c r="I21" s="112"/>
      <c r="J21" s="112"/>
      <c r="K21" s="112"/>
      <c r="L21" s="112"/>
      <c r="M21" s="112"/>
      <c r="N21" s="112"/>
      <c r="O21" s="112"/>
      <c r="P21" s="112"/>
      <c r="Q21" s="112"/>
      <c r="R21" s="112"/>
      <c r="S21" s="112"/>
      <c r="T21" s="112"/>
      <c r="U21" s="112"/>
      <c r="V21" s="112"/>
      <c r="W21" s="112"/>
      <c r="X21" s="112"/>
      <c r="Y21" s="243">
        <v>1</v>
      </c>
      <c r="Z21" s="243">
        <v>0</v>
      </c>
      <c r="AA21" s="243">
        <v>0</v>
      </c>
      <c r="AB21" s="243">
        <v>0</v>
      </c>
      <c r="AC21" s="242">
        <f t="shared" si="0"/>
        <v>0</v>
      </c>
      <c r="AD21" s="116"/>
      <c r="AE21" s="116"/>
      <c r="AF21" s="116"/>
      <c r="AG21" s="116"/>
      <c r="AH21" s="116"/>
      <c r="AI21" s="116"/>
      <c r="AJ21" s="116"/>
      <c r="AK21" s="116"/>
      <c r="AL21" s="12" t="s">
        <v>629</v>
      </c>
      <c r="AM21" s="116"/>
    </row>
    <row r="22" spans="1:39" s="198" customFormat="1" x14ac:dyDescent="0.45">
      <c r="B22" s="38"/>
      <c r="C22" s="10" t="s">
        <v>630</v>
      </c>
      <c r="D22" s="12" t="s">
        <v>631</v>
      </c>
      <c r="E22" s="112"/>
      <c r="F22" s="112"/>
      <c r="G22" s="112"/>
      <c r="H22" s="112"/>
      <c r="I22" s="112"/>
      <c r="J22" s="112"/>
      <c r="K22" s="112"/>
      <c r="L22" s="112"/>
      <c r="M22" s="112"/>
      <c r="N22" s="112"/>
      <c r="O22" s="112"/>
      <c r="P22" s="112"/>
      <c r="Q22" s="112"/>
      <c r="R22" s="112"/>
      <c r="S22" s="112"/>
      <c r="T22" s="112"/>
      <c r="U22" s="112"/>
      <c r="V22" s="112"/>
      <c r="W22" s="112"/>
      <c r="X22" s="112"/>
      <c r="Y22" s="243">
        <v>15</v>
      </c>
      <c r="Z22" s="243">
        <v>0</v>
      </c>
      <c r="AA22" s="243">
        <v>6</v>
      </c>
      <c r="AB22" s="243">
        <v>0</v>
      </c>
      <c r="AC22" s="242">
        <f t="shared" si="0"/>
        <v>6</v>
      </c>
      <c r="AD22" s="116"/>
      <c r="AE22" s="116"/>
      <c r="AF22" s="116"/>
      <c r="AG22" s="116"/>
      <c r="AH22" s="116"/>
      <c r="AI22" s="116"/>
      <c r="AJ22" s="116"/>
      <c r="AK22" s="116"/>
      <c r="AL22" s="12" t="s">
        <v>632</v>
      </c>
      <c r="AM22" s="116"/>
    </row>
    <row r="23" spans="1:39" s="198" customFormat="1" x14ac:dyDescent="0.45">
      <c r="B23" s="38"/>
      <c r="C23" s="10" t="s">
        <v>633</v>
      </c>
      <c r="D23" s="12" t="s">
        <v>634</v>
      </c>
      <c r="E23" s="112"/>
      <c r="F23" s="112"/>
      <c r="G23" s="112"/>
      <c r="H23" s="112"/>
      <c r="I23" s="112"/>
      <c r="J23" s="112"/>
      <c r="K23" s="112"/>
      <c r="L23" s="112"/>
      <c r="M23" s="112"/>
      <c r="N23" s="112"/>
      <c r="O23" s="112"/>
      <c r="P23" s="112"/>
      <c r="Q23" s="112"/>
      <c r="R23" s="112"/>
      <c r="S23" s="112"/>
      <c r="T23" s="112"/>
      <c r="U23" s="112"/>
      <c r="V23" s="112"/>
      <c r="W23" s="112"/>
      <c r="X23" s="112"/>
      <c r="Y23" s="243">
        <v>3</v>
      </c>
      <c r="Z23" s="243">
        <v>0</v>
      </c>
      <c r="AA23" s="243">
        <v>0</v>
      </c>
      <c r="AB23" s="243">
        <v>0</v>
      </c>
      <c r="AC23" s="242">
        <f t="shared" si="0"/>
        <v>0</v>
      </c>
      <c r="AD23" s="116"/>
      <c r="AE23" s="116"/>
      <c r="AF23" s="116"/>
      <c r="AG23" s="116"/>
      <c r="AH23" s="116"/>
      <c r="AI23" s="116"/>
      <c r="AJ23" s="116"/>
      <c r="AK23" s="116"/>
      <c r="AL23" s="12" t="s">
        <v>634</v>
      </c>
      <c r="AM23" s="116"/>
    </row>
    <row r="24" spans="1:39" s="198" customFormat="1" ht="28.5" x14ac:dyDescent="0.45">
      <c r="A24" s="198" t="s">
        <v>333</v>
      </c>
      <c r="B24" s="38" t="s">
        <v>635</v>
      </c>
      <c r="C24" s="10" t="s">
        <v>114</v>
      </c>
      <c r="D24" s="12" t="s">
        <v>607</v>
      </c>
      <c r="E24" s="112"/>
      <c r="F24" s="112"/>
      <c r="G24" s="112"/>
      <c r="H24" s="112"/>
      <c r="I24" s="112"/>
      <c r="J24" s="112"/>
      <c r="K24" s="112"/>
      <c r="L24" s="112"/>
      <c r="M24" s="112"/>
      <c r="N24" s="112"/>
      <c r="O24" s="112"/>
      <c r="P24" s="112"/>
      <c r="Q24" s="112"/>
      <c r="R24" s="112"/>
      <c r="S24" s="112"/>
      <c r="T24" s="112"/>
      <c r="U24" s="112"/>
      <c r="V24" s="112"/>
      <c r="W24" s="112"/>
      <c r="X24" s="112"/>
      <c r="Y24" s="243">
        <v>1853.99072</v>
      </c>
      <c r="Z24" s="243">
        <v>49.274810610000003</v>
      </c>
      <c r="AA24" s="243">
        <v>2789.0507579999999</v>
      </c>
      <c r="AB24" s="243">
        <v>1845.230871</v>
      </c>
      <c r="AC24" s="242">
        <f t="shared" si="0"/>
        <v>4634.2816290000001</v>
      </c>
      <c r="AD24" s="116"/>
      <c r="AE24" s="116"/>
      <c r="AF24" s="116"/>
      <c r="AG24" s="116"/>
      <c r="AH24" s="116"/>
      <c r="AI24" s="116"/>
      <c r="AJ24" s="116"/>
      <c r="AK24" s="116"/>
      <c r="AL24" s="12" t="s">
        <v>608</v>
      </c>
      <c r="AM24" s="116"/>
    </row>
    <row r="25" spans="1:39" s="198" customFormat="1" x14ac:dyDescent="0.45">
      <c r="B25" s="38"/>
      <c r="C25" s="10" t="s">
        <v>116</v>
      </c>
      <c r="D25" s="12" t="s">
        <v>609</v>
      </c>
      <c r="E25" s="112"/>
      <c r="F25" s="112"/>
      <c r="G25" s="112"/>
      <c r="H25" s="112"/>
      <c r="I25" s="112"/>
      <c r="J25" s="112"/>
      <c r="K25" s="112"/>
      <c r="L25" s="112"/>
      <c r="M25" s="112"/>
      <c r="N25" s="112"/>
      <c r="O25" s="112"/>
      <c r="P25" s="112"/>
      <c r="Q25" s="112"/>
      <c r="R25" s="112"/>
      <c r="S25" s="112"/>
      <c r="T25" s="112"/>
      <c r="U25" s="112"/>
      <c r="V25" s="112"/>
      <c r="W25" s="112"/>
      <c r="X25" s="112"/>
      <c r="Y25" s="243">
        <v>182.03484850000001</v>
      </c>
      <c r="Z25" s="243">
        <v>0</v>
      </c>
      <c r="AA25" s="243">
        <v>6.4818181819999996</v>
      </c>
      <c r="AB25" s="243">
        <v>0</v>
      </c>
      <c r="AC25" s="242">
        <f t="shared" si="0"/>
        <v>6.4818181819999996</v>
      </c>
      <c r="AD25" s="116"/>
      <c r="AE25" s="116"/>
      <c r="AF25" s="116"/>
      <c r="AG25" s="116"/>
      <c r="AH25" s="116"/>
      <c r="AI25" s="116"/>
      <c r="AJ25" s="116"/>
      <c r="AK25" s="116"/>
      <c r="AL25" s="12" t="s">
        <v>609</v>
      </c>
      <c r="AM25" s="116"/>
    </row>
    <row r="26" spans="1:39" s="198" customFormat="1" x14ac:dyDescent="0.45">
      <c r="B26" s="38"/>
      <c r="C26" s="10" t="s">
        <v>118</v>
      </c>
      <c r="D26" s="12" t="s">
        <v>610</v>
      </c>
      <c r="E26" s="112"/>
      <c r="F26" s="112"/>
      <c r="G26" s="112"/>
      <c r="H26" s="112"/>
      <c r="I26" s="112"/>
      <c r="J26" s="112"/>
      <c r="K26" s="112"/>
      <c r="L26" s="112"/>
      <c r="M26" s="112"/>
      <c r="N26" s="112"/>
      <c r="O26" s="112"/>
      <c r="P26" s="112"/>
      <c r="Q26" s="112"/>
      <c r="R26" s="112"/>
      <c r="S26" s="112"/>
      <c r="T26" s="112"/>
      <c r="U26" s="112"/>
      <c r="V26" s="112"/>
      <c r="W26" s="112"/>
      <c r="X26" s="112"/>
      <c r="Y26" s="243">
        <v>2427</v>
      </c>
      <c r="Z26" s="243">
        <v>4</v>
      </c>
      <c r="AA26" s="243">
        <v>1467</v>
      </c>
      <c r="AB26" s="243">
        <v>896</v>
      </c>
      <c r="AC26" s="242">
        <f t="shared" si="0"/>
        <v>2363</v>
      </c>
      <c r="AD26" s="116"/>
      <c r="AE26" s="116"/>
      <c r="AF26" s="116"/>
      <c r="AG26" s="116"/>
      <c r="AH26" s="116"/>
      <c r="AI26" s="116"/>
      <c r="AJ26" s="116"/>
      <c r="AK26" s="116"/>
      <c r="AL26" s="12" t="s">
        <v>611</v>
      </c>
      <c r="AM26" s="116"/>
    </row>
    <row r="27" spans="1:39" s="198" customFormat="1" x14ac:dyDescent="0.45">
      <c r="B27" s="38"/>
      <c r="C27" s="10" t="s">
        <v>120</v>
      </c>
      <c r="D27" s="12" t="s">
        <v>612</v>
      </c>
      <c r="E27" s="112"/>
      <c r="F27" s="112"/>
      <c r="G27" s="112"/>
      <c r="H27" s="112"/>
      <c r="I27" s="112"/>
      <c r="J27" s="112"/>
      <c r="K27" s="112"/>
      <c r="L27" s="112"/>
      <c r="M27" s="112"/>
      <c r="N27" s="112"/>
      <c r="O27" s="112"/>
      <c r="P27" s="112"/>
      <c r="Q27" s="112"/>
      <c r="R27" s="112"/>
      <c r="S27" s="112"/>
      <c r="T27" s="112"/>
      <c r="U27" s="112"/>
      <c r="V27" s="112"/>
      <c r="W27" s="112"/>
      <c r="X27" s="112"/>
      <c r="Y27" s="243">
        <v>66</v>
      </c>
      <c r="Z27" s="243">
        <v>0</v>
      </c>
      <c r="AA27" s="243">
        <v>0</v>
      </c>
      <c r="AB27" s="243">
        <v>0</v>
      </c>
      <c r="AC27" s="242">
        <f t="shared" si="0"/>
        <v>0</v>
      </c>
      <c r="AD27" s="116"/>
      <c r="AE27" s="116"/>
      <c r="AF27" s="116"/>
      <c r="AG27" s="116"/>
      <c r="AH27" s="116"/>
      <c r="AI27" s="116"/>
      <c r="AJ27" s="116"/>
      <c r="AK27" s="116"/>
      <c r="AL27" s="12" t="s">
        <v>612</v>
      </c>
      <c r="AM27" s="116"/>
    </row>
    <row r="28" spans="1:39" s="198" customFormat="1" x14ac:dyDescent="0.45">
      <c r="B28" s="38"/>
      <c r="C28" s="10" t="s">
        <v>194</v>
      </c>
      <c r="D28" s="12" t="s">
        <v>613</v>
      </c>
      <c r="E28" s="112"/>
      <c r="F28" s="112"/>
      <c r="G28" s="112"/>
      <c r="H28" s="112"/>
      <c r="I28" s="112"/>
      <c r="J28" s="112"/>
      <c r="K28" s="112"/>
      <c r="L28" s="112"/>
      <c r="M28" s="112"/>
      <c r="N28" s="112"/>
      <c r="O28" s="112"/>
      <c r="P28" s="112"/>
      <c r="Q28" s="112"/>
      <c r="R28" s="112"/>
      <c r="S28" s="112"/>
      <c r="T28" s="112"/>
      <c r="U28" s="112"/>
      <c r="V28" s="112"/>
      <c r="W28" s="112"/>
      <c r="X28" s="112"/>
      <c r="Y28" s="243">
        <v>87487</v>
      </c>
      <c r="Z28" s="243">
        <v>79</v>
      </c>
      <c r="AA28" s="243">
        <v>77782</v>
      </c>
      <c r="AB28" s="243">
        <v>21139</v>
      </c>
      <c r="AC28" s="242">
        <f t="shared" si="0"/>
        <v>98921</v>
      </c>
      <c r="AD28" s="116"/>
      <c r="AE28" s="116"/>
      <c r="AF28" s="116"/>
      <c r="AG28" s="116"/>
      <c r="AH28" s="116"/>
      <c r="AI28" s="116"/>
      <c r="AJ28" s="116"/>
      <c r="AK28" s="116"/>
      <c r="AL28" s="12" t="s">
        <v>614</v>
      </c>
      <c r="AM28" s="116"/>
    </row>
    <row r="29" spans="1:39" s="198" customFormat="1" x14ac:dyDescent="0.45">
      <c r="B29" s="38"/>
      <c r="C29" s="10" t="s">
        <v>196</v>
      </c>
      <c r="D29" s="244" t="s">
        <v>615</v>
      </c>
      <c r="E29" s="112"/>
      <c r="F29" s="112"/>
      <c r="G29" s="112"/>
      <c r="H29" s="112"/>
      <c r="I29" s="112"/>
      <c r="J29" s="112"/>
      <c r="K29" s="112"/>
      <c r="L29" s="112"/>
      <c r="M29" s="112"/>
      <c r="N29" s="112"/>
      <c r="O29" s="112"/>
      <c r="P29" s="112"/>
      <c r="Q29" s="112"/>
      <c r="R29" s="112"/>
      <c r="S29" s="112"/>
      <c r="T29" s="112"/>
      <c r="U29" s="112"/>
      <c r="V29" s="112"/>
      <c r="W29" s="112"/>
      <c r="X29" s="112"/>
      <c r="Y29" s="243">
        <v>3984</v>
      </c>
      <c r="Z29" s="243">
        <v>0</v>
      </c>
      <c r="AA29" s="243">
        <v>0</v>
      </c>
      <c r="AB29" s="243">
        <v>0</v>
      </c>
      <c r="AC29" s="242">
        <f t="shared" si="0"/>
        <v>0</v>
      </c>
      <c r="AD29" s="116"/>
      <c r="AE29" s="116"/>
      <c r="AF29" s="116"/>
      <c r="AG29" s="116"/>
      <c r="AH29" s="116"/>
      <c r="AI29" s="116"/>
      <c r="AJ29" s="116"/>
      <c r="AK29" s="116"/>
      <c r="AL29" s="12" t="s">
        <v>615</v>
      </c>
      <c r="AM29" s="116"/>
    </row>
    <row r="30" spans="1:39" s="198" customFormat="1" ht="28.5" x14ac:dyDescent="0.45">
      <c r="B30" s="38"/>
      <c r="C30" s="10" t="s">
        <v>198</v>
      </c>
      <c r="D30" s="244" t="s">
        <v>616</v>
      </c>
      <c r="E30" s="112"/>
      <c r="F30" s="112"/>
      <c r="G30" s="112"/>
      <c r="H30" s="112"/>
      <c r="I30" s="112"/>
      <c r="J30" s="112"/>
      <c r="K30" s="112"/>
      <c r="L30" s="112"/>
      <c r="M30" s="112"/>
      <c r="N30" s="112"/>
      <c r="O30" s="112"/>
      <c r="P30" s="112"/>
      <c r="Q30" s="112"/>
      <c r="R30" s="112"/>
      <c r="S30" s="112"/>
      <c r="T30" s="112"/>
      <c r="U30" s="112"/>
      <c r="V30" s="112"/>
      <c r="W30" s="112"/>
      <c r="X30" s="112"/>
      <c r="Y30" s="243">
        <v>3102</v>
      </c>
      <c r="Z30" s="243">
        <v>7</v>
      </c>
      <c r="AA30" s="243">
        <v>4630</v>
      </c>
      <c r="AB30" s="243">
        <v>1811</v>
      </c>
      <c r="AC30" s="242">
        <f t="shared" si="0"/>
        <v>6441</v>
      </c>
      <c r="AD30" s="116"/>
      <c r="AE30" s="116"/>
      <c r="AF30" s="116"/>
      <c r="AG30" s="116"/>
      <c r="AH30" s="116"/>
      <c r="AI30" s="116"/>
      <c r="AJ30" s="116"/>
      <c r="AK30" s="116"/>
      <c r="AL30" s="12" t="s">
        <v>617</v>
      </c>
      <c r="AM30" s="116"/>
    </row>
    <row r="31" spans="1:39" s="198" customFormat="1" ht="28.5" x14ac:dyDescent="0.45">
      <c r="B31" s="38"/>
      <c r="C31" s="10" t="s">
        <v>200</v>
      </c>
      <c r="D31" s="244" t="s">
        <v>618</v>
      </c>
      <c r="E31" s="112"/>
      <c r="F31" s="112"/>
      <c r="G31" s="112"/>
      <c r="H31" s="112"/>
      <c r="I31" s="112"/>
      <c r="J31" s="112"/>
      <c r="K31" s="112"/>
      <c r="L31" s="112"/>
      <c r="M31" s="112"/>
      <c r="N31" s="112"/>
      <c r="O31" s="112"/>
      <c r="P31" s="112"/>
      <c r="Q31" s="112"/>
      <c r="R31" s="112"/>
      <c r="S31" s="112"/>
      <c r="T31" s="112"/>
      <c r="U31" s="112"/>
      <c r="V31" s="112"/>
      <c r="W31" s="112"/>
      <c r="X31" s="112"/>
      <c r="Y31" s="243">
        <v>137</v>
      </c>
      <c r="Z31" s="243">
        <v>0</v>
      </c>
      <c r="AA31" s="243">
        <v>0</v>
      </c>
      <c r="AB31" s="243">
        <v>0</v>
      </c>
      <c r="AC31" s="242">
        <f t="shared" si="0"/>
        <v>0</v>
      </c>
      <c r="AD31" s="116"/>
      <c r="AE31" s="116"/>
      <c r="AF31" s="116"/>
      <c r="AG31" s="116"/>
      <c r="AH31" s="116"/>
      <c r="AI31" s="116"/>
      <c r="AJ31" s="116"/>
      <c r="AK31" s="116"/>
      <c r="AL31" s="12" t="s">
        <v>618</v>
      </c>
      <c r="AM31" s="116"/>
    </row>
    <row r="32" spans="1:39" s="198" customFormat="1" x14ac:dyDescent="0.45">
      <c r="B32" s="38"/>
      <c r="C32" s="10" t="s">
        <v>588</v>
      </c>
      <c r="D32" s="12" t="s">
        <v>619</v>
      </c>
      <c r="E32" s="112"/>
      <c r="F32" s="112"/>
      <c r="G32" s="112"/>
      <c r="H32" s="112"/>
      <c r="I32" s="112"/>
      <c r="J32" s="112"/>
      <c r="K32" s="112"/>
      <c r="L32" s="112"/>
      <c r="M32" s="112"/>
      <c r="N32" s="112"/>
      <c r="O32" s="112"/>
      <c r="P32" s="112"/>
      <c r="Q32" s="112"/>
      <c r="R32" s="112"/>
      <c r="S32" s="112"/>
      <c r="T32" s="112"/>
      <c r="U32" s="112"/>
      <c r="V32" s="112"/>
      <c r="W32" s="112"/>
      <c r="X32" s="112"/>
      <c r="Y32" s="243">
        <v>152.30977139999999</v>
      </c>
      <c r="Z32" s="243">
        <v>6.3501715909999996</v>
      </c>
      <c r="AA32" s="243">
        <v>551.66944720000004</v>
      </c>
      <c r="AB32" s="243">
        <v>248.1741055</v>
      </c>
      <c r="AC32" s="242">
        <f t="shared" si="0"/>
        <v>799.84355270000003</v>
      </c>
      <c r="AD32" s="116"/>
      <c r="AE32" s="116"/>
      <c r="AF32" s="116"/>
      <c r="AG32" s="116"/>
      <c r="AH32" s="116"/>
      <c r="AI32" s="116"/>
      <c r="AJ32" s="116"/>
      <c r="AK32" s="116"/>
      <c r="AL32" s="12" t="s">
        <v>620</v>
      </c>
      <c r="AM32" s="116"/>
    </row>
    <row r="33" spans="1:39" s="198" customFormat="1" x14ac:dyDescent="0.45">
      <c r="B33" s="38"/>
      <c r="C33" s="10" t="s">
        <v>589</v>
      </c>
      <c r="D33" s="12" t="s">
        <v>621</v>
      </c>
      <c r="E33" s="112"/>
      <c r="F33" s="112"/>
      <c r="G33" s="112"/>
      <c r="H33" s="112"/>
      <c r="I33" s="112"/>
      <c r="J33" s="112"/>
      <c r="K33" s="112"/>
      <c r="L33" s="112"/>
      <c r="M33" s="112"/>
      <c r="N33" s="112"/>
      <c r="O33" s="112"/>
      <c r="P33" s="112"/>
      <c r="Q33" s="112"/>
      <c r="R33" s="112"/>
      <c r="S33" s="112"/>
      <c r="T33" s="112"/>
      <c r="U33" s="112"/>
      <c r="V33" s="112"/>
      <c r="W33" s="112"/>
      <c r="X33" s="112"/>
      <c r="Y33" s="243">
        <v>19.696948859999999</v>
      </c>
      <c r="Z33" s="243">
        <v>0</v>
      </c>
      <c r="AA33" s="243">
        <v>0.97350946999999999</v>
      </c>
      <c r="AB33" s="243">
        <v>0</v>
      </c>
      <c r="AC33" s="242">
        <f t="shared" si="0"/>
        <v>0.97350946999999999</v>
      </c>
      <c r="AD33" s="116"/>
      <c r="AE33" s="116"/>
      <c r="AF33" s="116"/>
      <c r="AG33" s="116"/>
      <c r="AH33" s="116"/>
      <c r="AI33" s="116"/>
      <c r="AJ33" s="116"/>
      <c r="AK33" s="116"/>
      <c r="AL33" s="12" t="s">
        <v>621</v>
      </c>
      <c r="AM33" s="116"/>
    </row>
    <row r="34" spans="1:39" s="198" customFormat="1" x14ac:dyDescent="0.45">
      <c r="B34" s="38"/>
      <c r="C34" s="10" t="s">
        <v>590</v>
      </c>
      <c r="D34" s="12" t="s">
        <v>622</v>
      </c>
      <c r="E34" s="112"/>
      <c r="F34" s="112"/>
      <c r="G34" s="112"/>
      <c r="H34" s="112"/>
      <c r="I34" s="112"/>
      <c r="J34" s="112"/>
      <c r="K34" s="112"/>
      <c r="L34" s="112"/>
      <c r="M34" s="112"/>
      <c r="N34" s="112"/>
      <c r="O34" s="112"/>
      <c r="P34" s="112"/>
      <c r="Q34" s="112"/>
      <c r="R34" s="112"/>
      <c r="S34" s="112"/>
      <c r="T34" s="112"/>
      <c r="U34" s="112"/>
      <c r="V34" s="112"/>
      <c r="W34" s="112"/>
      <c r="X34" s="112"/>
      <c r="Y34" s="243">
        <v>363.72253790000002</v>
      </c>
      <c r="Z34" s="243">
        <v>42.359469699999998</v>
      </c>
      <c r="AA34" s="243">
        <v>1470.273864</v>
      </c>
      <c r="AB34" s="243">
        <v>1449.8589019999999</v>
      </c>
      <c r="AC34" s="242">
        <f t="shared" si="0"/>
        <v>2920.1327659999997</v>
      </c>
      <c r="AD34" s="116"/>
      <c r="AE34" s="116"/>
      <c r="AF34" s="116"/>
      <c r="AG34" s="116"/>
      <c r="AH34" s="116"/>
      <c r="AI34" s="116"/>
      <c r="AJ34" s="116"/>
      <c r="AK34" s="116"/>
      <c r="AL34" s="12" t="s">
        <v>623</v>
      </c>
      <c r="AM34" s="116"/>
    </row>
    <row r="35" spans="1:39" s="198" customFormat="1" x14ac:dyDescent="0.45">
      <c r="B35" s="38"/>
      <c r="C35" s="10" t="s">
        <v>591</v>
      </c>
      <c r="D35" s="12" t="s">
        <v>624</v>
      </c>
      <c r="E35" s="112"/>
      <c r="F35" s="112"/>
      <c r="G35" s="112"/>
      <c r="H35" s="112"/>
      <c r="I35" s="112"/>
      <c r="J35" s="112"/>
      <c r="K35" s="112"/>
      <c r="L35" s="112"/>
      <c r="M35" s="112"/>
      <c r="N35" s="112"/>
      <c r="O35" s="112"/>
      <c r="P35" s="112"/>
      <c r="Q35" s="112"/>
      <c r="R35" s="112"/>
      <c r="S35" s="112"/>
      <c r="T35" s="112"/>
      <c r="U35" s="112"/>
      <c r="V35" s="112"/>
      <c r="W35" s="112"/>
      <c r="X35" s="112"/>
      <c r="Y35" s="243">
        <v>63.705681820000002</v>
      </c>
      <c r="Z35" s="243">
        <v>0</v>
      </c>
      <c r="AA35" s="243">
        <v>0.56647727299999995</v>
      </c>
      <c r="AB35" s="243">
        <v>0</v>
      </c>
      <c r="AC35" s="242">
        <f t="shared" si="0"/>
        <v>0.56647727299999995</v>
      </c>
      <c r="AD35" s="116"/>
      <c r="AE35" s="116"/>
      <c r="AF35" s="116"/>
      <c r="AG35" s="116"/>
      <c r="AH35" s="116"/>
      <c r="AI35" s="116"/>
      <c r="AJ35" s="116"/>
      <c r="AK35" s="116"/>
      <c r="AL35" s="12" t="s">
        <v>624</v>
      </c>
      <c r="AM35" s="116"/>
    </row>
    <row r="36" spans="1:39" s="198" customFormat="1" x14ac:dyDescent="0.45">
      <c r="B36" s="38"/>
      <c r="C36" s="10" t="s">
        <v>592</v>
      </c>
      <c r="D36" s="12" t="s">
        <v>626</v>
      </c>
      <c r="E36" s="112"/>
      <c r="F36" s="112"/>
      <c r="G36" s="112"/>
      <c r="H36" s="112"/>
      <c r="I36" s="112"/>
      <c r="J36" s="112"/>
      <c r="K36" s="112"/>
      <c r="L36" s="112"/>
      <c r="M36" s="112"/>
      <c r="N36" s="112"/>
      <c r="O36" s="112"/>
      <c r="P36" s="112"/>
      <c r="Q36" s="112"/>
      <c r="R36" s="112"/>
      <c r="S36" s="112"/>
      <c r="T36" s="112"/>
      <c r="U36" s="112"/>
      <c r="V36" s="112"/>
      <c r="W36" s="112"/>
      <c r="X36" s="112"/>
      <c r="Y36" s="243">
        <v>31</v>
      </c>
      <c r="Z36" s="243">
        <v>1</v>
      </c>
      <c r="AA36" s="243">
        <v>28</v>
      </c>
      <c r="AB36" s="243">
        <v>11</v>
      </c>
      <c r="AC36" s="242">
        <f t="shared" si="0"/>
        <v>39</v>
      </c>
      <c r="AD36" s="116"/>
      <c r="AE36" s="116"/>
      <c r="AF36" s="116"/>
      <c r="AG36" s="116"/>
      <c r="AH36" s="116"/>
      <c r="AI36" s="116"/>
      <c r="AJ36" s="116"/>
      <c r="AK36" s="116"/>
      <c r="AL36" s="12" t="s">
        <v>627</v>
      </c>
      <c r="AM36" s="116"/>
    </row>
    <row r="37" spans="1:39" s="198" customFormat="1" x14ac:dyDescent="0.45">
      <c r="B37" s="38"/>
      <c r="C37" s="10" t="s">
        <v>636</v>
      </c>
      <c r="D37" s="12" t="s">
        <v>629</v>
      </c>
      <c r="E37" s="112"/>
      <c r="F37" s="112"/>
      <c r="G37" s="112"/>
      <c r="H37" s="112"/>
      <c r="I37" s="112"/>
      <c r="J37" s="112"/>
      <c r="K37" s="112"/>
      <c r="L37" s="112"/>
      <c r="M37" s="112"/>
      <c r="N37" s="112"/>
      <c r="O37" s="112"/>
      <c r="P37" s="112"/>
      <c r="Q37" s="112"/>
      <c r="R37" s="112"/>
      <c r="S37" s="112"/>
      <c r="T37" s="112"/>
      <c r="U37" s="112"/>
      <c r="V37" s="112"/>
      <c r="W37" s="112"/>
      <c r="X37" s="112"/>
      <c r="Y37" s="243">
        <v>1</v>
      </c>
      <c r="Z37" s="243">
        <v>0</v>
      </c>
      <c r="AA37" s="243">
        <v>0</v>
      </c>
      <c r="AB37" s="243">
        <v>0</v>
      </c>
      <c r="AC37" s="242">
        <f t="shared" si="0"/>
        <v>0</v>
      </c>
      <c r="AD37" s="116"/>
      <c r="AE37" s="116"/>
      <c r="AF37" s="116"/>
      <c r="AG37" s="116"/>
      <c r="AH37" s="116"/>
      <c r="AI37" s="116"/>
      <c r="AJ37" s="116"/>
      <c r="AK37" s="116"/>
      <c r="AL37" s="12" t="s">
        <v>629</v>
      </c>
      <c r="AM37" s="116"/>
    </row>
    <row r="38" spans="1:39" s="198" customFormat="1" x14ac:dyDescent="0.45">
      <c r="B38" s="38"/>
      <c r="C38" s="10" t="s">
        <v>594</v>
      </c>
      <c r="D38" s="12" t="s">
        <v>631</v>
      </c>
      <c r="E38" s="112"/>
      <c r="F38" s="112"/>
      <c r="G38" s="112"/>
      <c r="H38" s="112"/>
      <c r="I38" s="112"/>
      <c r="J38" s="112"/>
      <c r="K38" s="112"/>
      <c r="L38" s="112"/>
      <c r="M38" s="112"/>
      <c r="N38" s="112"/>
      <c r="O38" s="112"/>
      <c r="P38" s="112"/>
      <c r="Q38" s="112"/>
      <c r="R38" s="112"/>
      <c r="S38" s="112"/>
      <c r="T38" s="112"/>
      <c r="U38" s="112"/>
      <c r="V38" s="112"/>
      <c r="W38" s="112"/>
      <c r="X38" s="112"/>
      <c r="Y38" s="243">
        <v>4</v>
      </c>
      <c r="Z38" s="243">
        <v>2</v>
      </c>
      <c r="AA38" s="243">
        <v>51</v>
      </c>
      <c r="AB38" s="243">
        <v>82</v>
      </c>
      <c r="AC38" s="242">
        <f t="shared" si="0"/>
        <v>133</v>
      </c>
      <c r="AD38" s="116"/>
      <c r="AE38" s="116"/>
      <c r="AF38" s="116"/>
      <c r="AG38" s="116"/>
      <c r="AH38" s="116"/>
      <c r="AI38" s="116"/>
      <c r="AJ38" s="116"/>
      <c r="AK38" s="116"/>
      <c r="AL38" s="12" t="s">
        <v>632</v>
      </c>
      <c r="AM38" s="116"/>
    </row>
    <row r="39" spans="1:39" s="198" customFormat="1" x14ac:dyDescent="0.45">
      <c r="B39" s="38"/>
      <c r="C39" s="10" t="s">
        <v>637</v>
      </c>
      <c r="D39" s="12" t="s">
        <v>634</v>
      </c>
      <c r="E39" s="112"/>
      <c r="F39" s="112"/>
      <c r="G39" s="112"/>
      <c r="H39" s="112"/>
      <c r="I39" s="112"/>
      <c r="J39" s="112"/>
      <c r="K39" s="112"/>
      <c r="L39" s="112"/>
      <c r="M39" s="112"/>
      <c r="N39" s="112"/>
      <c r="O39" s="112"/>
      <c r="P39" s="112"/>
      <c r="Q39" s="112"/>
      <c r="R39" s="112"/>
      <c r="S39" s="112"/>
      <c r="T39" s="112"/>
      <c r="U39" s="112"/>
      <c r="V39" s="112"/>
      <c r="W39" s="112"/>
      <c r="X39" s="112"/>
      <c r="Y39" s="243">
        <v>1</v>
      </c>
      <c r="Z39" s="243">
        <v>0</v>
      </c>
      <c r="AA39" s="243">
        <v>0</v>
      </c>
      <c r="AB39" s="243">
        <v>0</v>
      </c>
      <c r="AC39" s="242">
        <f t="shared" si="0"/>
        <v>0</v>
      </c>
      <c r="AD39" s="116"/>
      <c r="AE39" s="116"/>
      <c r="AF39" s="116"/>
      <c r="AG39" s="116"/>
      <c r="AH39" s="116"/>
      <c r="AI39" s="116"/>
      <c r="AJ39" s="116"/>
      <c r="AK39" s="116"/>
      <c r="AL39" s="12" t="s">
        <v>634</v>
      </c>
      <c r="AM39" s="116"/>
    </row>
    <row r="40" spans="1:39" s="198" customFormat="1" ht="28.5" x14ac:dyDescent="0.45">
      <c r="A40" s="198" t="s">
        <v>333</v>
      </c>
      <c r="B40" s="38" t="s">
        <v>638</v>
      </c>
      <c r="C40" s="10" t="s">
        <v>93</v>
      </c>
      <c r="D40" s="12" t="s">
        <v>607</v>
      </c>
      <c r="E40" s="112"/>
      <c r="F40" s="112"/>
      <c r="G40" s="112"/>
      <c r="H40" s="112"/>
      <c r="I40" s="112"/>
      <c r="J40" s="112"/>
      <c r="K40" s="112"/>
      <c r="L40" s="112"/>
      <c r="M40" s="112"/>
      <c r="N40" s="112"/>
      <c r="O40" s="112"/>
      <c r="P40" s="112"/>
      <c r="Q40" s="112"/>
      <c r="R40" s="112"/>
      <c r="S40" s="112"/>
      <c r="T40" s="112"/>
      <c r="U40" s="112"/>
      <c r="V40" s="112"/>
      <c r="W40" s="112"/>
      <c r="X40" s="112"/>
      <c r="Y40" s="243">
        <v>216.49034090000001</v>
      </c>
      <c r="Z40" s="243">
        <v>35.325378790000002</v>
      </c>
      <c r="AA40" s="243">
        <v>184.90852269999999</v>
      </c>
      <c r="AB40" s="243">
        <v>213.6395833</v>
      </c>
      <c r="AC40" s="242">
        <f t="shared" si="0"/>
        <v>398.54810599999996</v>
      </c>
      <c r="AD40" s="116"/>
      <c r="AE40" s="116"/>
      <c r="AF40" s="116"/>
      <c r="AG40" s="116"/>
      <c r="AH40" s="116"/>
      <c r="AI40" s="116"/>
      <c r="AJ40" s="116"/>
      <c r="AK40" s="116"/>
      <c r="AL40" s="12" t="s">
        <v>608</v>
      </c>
      <c r="AM40" s="116"/>
    </row>
    <row r="41" spans="1:39" s="198" customFormat="1" x14ac:dyDescent="0.45">
      <c r="B41" s="38"/>
      <c r="C41" s="10" t="s">
        <v>97</v>
      </c>
      <c r="D41" s="12" t="s">
        <v>609</v>
      </c>
      <c r="E41" s="112"/>
      <c r="F41" s="112"/>
      <c r="G41" s="112"/>
      <c r="H41" s="112"/>
      <c r="I41" s="112"/>
      <c r="J41" s="112"/>
      <c r="K41" s="112"/>
      <c r="L41" s="112"/>
      <c r="M41" s="112"/>
      <c r="N41" s="112"/>
      <c r="O41" s="112"/>
      <c r="P41" s="112"/>
      <c r="Q41" s="112"/>
      <c r="R41" s="112"/>
      <c r="S41" s="112"/>
      <c r="T41" s="112"/>
      <c r="U41" s="112"/>
      <c r="V41" s="112"/>
      <c r="W41" s="112"/>
      <c r="X41" s="112"/>
      <c r="Y41" s="243">
        <v>0</v>
      </c>
      <c r="Z41" s="243">
        <v>0</v>
      </c>
      <c r="AA41" s="243">
        <v>0</v>
      </c>
      <c r="AB41" s="243">
        <v>0</v>
      </c>
      <c r="AC41" s="242">
        <f t="shared" si="0"/>
        <v>0</v>
      </c>
      <c r="AD41" s="116"/>
      <c r="AE41" s="116"/>
      <c r="AF41" s="116"/>
      <c r="AG41" s="116"/>
      <c r="AH41" s="116"/>
      <c r="AI41" s="116"/>
      <c r="AJ41" s="116"/>
      <c r="AK41" s="116"/>
      <c r="AL41" s="12" t="s">
        <v>609</v>
      </c>
      <c r="AM41" s="116"/>
    </row>
    <row r="42" spans="1:39" s="198" customFormat="1" x14ac:dyDescent="0.45">
      <c r="B42" s="38"/>
      <c r="C42" s="10" t="s">
        <v>100</v>
      </c>
      <c r="D42" s="12" t="s">
        <v>610</v>
      </c>
      <c r="E42" s="112"/>
      <c r="F42" s="112"/>
      <c r="G42" s="112"/>
      <c r="H42" s="112"/>
      <c r="I42" s="112"/>
      <c r="J42" s="112"/>
      <c r="K42" s="112"/>
      <c r="L42" s="112"/>
      <c r="M42" s="112"/>
      <c r="N42" s="112"/>
      <c r="O42" s="112"/>
      <c r="P42" s="112"/>
      <c r="Q42" s="112"/>
      <c r="R42" s="112"/>
      <c r="S42" s="112"/>
      <c r="T42" s="112"/>
      <c r="U42" s="112"/>
      <c r="V42" s="112"/>
      <c r="W42" s="112"/>
      <c r="X42" s="112"/>
      <c r="Y42" s="243">
        <v>129</v>
      </c>
      <c r="Z42" s="243">
        <v>8</v>
      </c>
      <c r="AA42" s="243">
        <v>85</v>
      </c>
      <c r="AB42" s="243">
        <v>87</v>
      </c>
      <c r="AC42" s="242">
        <f t="shared" si="0"/>
        <v>172</v>
      </c>
      <c r="AD42" s="116"/>
      <c r="AE42" s="116"/>
      <c r="AF42" s="116"/>
      <c r="AG42" s="116"/>
      <c r="AH42" s="116"/>
      <c r="AI42" s="116"/>
      <c r="AJ42" s="116"/>
      <c r="AK42" s="116"/>
      <c r="AL42" s="12" t="s">
        <v>611</v>
      </c>
      <c r="AM42" s="116"/>
    </row>
    <row r="43" spans="1:39" s="198" customFormat="1" x14ac:dyDescent="0.45">
      <c r="B43" s="38"/>
      <c r="C43" s="10" t="s">
        <v>208</v>
      </c>
      <c r="D43" s="12" t="s">
        <v>612</v>
      </c>
      <c r="E43" s="112"/>
      <c r="F43" s="112"/>
      <c r="G43" s="112"/>
      <c r="H43" s="112"/>
      <c r="I43" s="112"/>
      <c r="J43" s="112"/>
      <c r="K43" s="112"/>
      <c r="L43" s="112"/>
      <c r="M43" s="112"/>
      <c r="N43" s="112"/>
      <c r="O43" s="112"/>
      <c r="P43" s="112"/>
      <c r="Q43" s="112"/>
      <c r="R43" s="112"/>
      <c r="S43" s="112"/>
      <c r="T43" s="112"/>
      <c r="U43" s="112"/>
      <c r="V43" s="112"/>
      <c r="W43" s="112"/>
      <c r="X43" s="112"/>
      <c r="Y43" s="243">
        <v>0</v>
      </c>
      <c r="Z43" s="243">
        <v>0</v>
      </c>
      <c r="AA43" s="243">
        <v>0</v>
      </c>
      <c r="AB43" s="243">
        <v>0</v>
      </c>
      <c r="AC43" s="242">
        <f t="shared" si="0"/>
        <v>0</v>
      </c>
      <c r="AD43" s="116"/>
      <c r="AE43" s="116"/>
      <c r="AF43" s="116"/>
      <c r="AG43" s="116"/>
      <c r="AH43" s="116"/>
      <c r="AI43" s="116"/>
      <c r="AJ43" s="116"/>
      <c r="AK43" s="116"/>
      <c r="AL43" s="12" t="s">
        <v>612</v>
      </c>
      <c r="AM43" s="116"/>
    </row>
    <row r="44" spans="1:39" s="198" customFormat="1" x14ac:dyDescent="0.45">
      <c r="B44" s="38"/>
      <c r="C44" s="10" t="s">
        <v>210</v>
      </c>
      <c r="D44" s="12" t="s">
        <v>613</v>
      </c>
      <c r="E44" s="112"/>
      <c r="F44" s="112"/>
      <c r="G44" s="112"/>
      <c r="H44" s="112"/>
      <c r="I44" s="112"/>
      <c r="J44" s="112"/>
      <c r="K44" s="112"/>
      <c r="L44" s="112"/>
      <c r="M44" s="112"/>
      <c r="N44" s="112"/>
      <c r="O44" s="112"/>
      <c r="P44" s="112"/>
      <c r="Q44" s="112"/>
      <c r="R44" s="112"/>
      <c r="S44" s="112"/>
      <c r="T44" s="112"/>
      <c r="U44" s="112"/>
      <c r="V44" s="112"/>
      <c r="W44" s="112"/>
      <c r="X44" s="112"/>
      <c r="Y44" s="243">
        <v>296</v>
      </c>
      <c r="Z44" s="243">
        <v>79</v>
      </c>
      <c r="AA44" s="243">
        <v>203</v>
      </c>
      <c r="AB44" s="243">
        <v>569</v>
      </c>
      <c r="AC44" s="242">
        <f t="shared" si="0"/>
        <v>772</v>
      </c>
      <c r="AD44" s="116"/>
      <c r="AE44" s="116"/>
      <c r="AF44" s="116"/>
      <c r="AG44" s="116"/>
      <c r="AH44" s="116"/>
      <c r="AI44" s="116"/>
      <c r="AJ44" s="116"/>
      <c r="AK44" s="116"/>
      <c r="AL44" s="12" t="s">
        <v>614</v>
      </c>
      <c r="AM44" s="116"/>
    </row>
    <row r="45" spans="1:39" s="198" customFormat="1" x14ac:dyDescent="0.45">
      <c r="B45" s="38"/>
      <c r="C45" s="10" t="s">
        <v>212</v>
      </c>
      <c r="D45" s="244" t="s">
        <v>615</v>
      </c>
      <c r="E45" s="112"/>
      <c r="F45" s="112"/>
      <c r="G45" s="112"/>
      <c r="H45" s="112"/>
      <c r="I45" s="112"/>
      <c r="J45" s="112"/>
      <c r="K45" s="112"/>
      <c r="L45" s="112"/>
      <c r="M45" s="112"/>
      <c r="N45" s="112"/>
      <c r="O45" s="112"/>
      <c r="P45" s="112"/>
      <c r="Q45" s="112"/>
      <c r="R45" s="112"/>
      <c r="S45" s="112"/>
      <c r="T45" s="112"/>
      <c r="U45" s="112"/>
      <c r="V45" s="112"/>
      <c r="W45" s="112"/>
      <c r="X45" s="112"/>
      <c r="Y45" s="243">
        <v>0</v>
      </c>
      <c r="Z45" s="243">
        <v>0</v>
      </c>
      <c r="AA45" s="243">
        <v>0</v>
      </c>
      <c r="AB45" s="243">
        <v>0</v>
      </c>
      <c r="AC45" s="242">
        <f t="shared" si="0"/>
        <v>0</v>
      </c>
      <c r="AD45" s="116"/>
      <c r="AE45" s="116"/>
      <c r="AF45" s="116"/>
      <c r="AG45" s="116"/>
      <c r="AH45" s="116"/>
      <c r="AI45" s="116"/>
      <c r="AJ45" s="116"/>
      <c r="AK45" s="116"/>
      <c r="AL45" s="12" t="s">
        <v>615</v>
      </c>
      <c r="AM45" s="116"/>
    </row>
    <row r="46" spans="1:39" s="198" customFormat="1" ht="28.5" x14ac:dyDescent="0.45">
      <c r="B46" s="38"/>
      <c r="C46" s="10" t="s">
        <v>214</v>
      </c>
      <c r="D46" s="244" t="s">
        <v>616</v>
      </c>
      <c r="E46" s="112"/>
      <c r="F46" s="112"/>
      <c r="G46" s="112"/>
      <c r="H46" s="112"/>
      <c r="I46" s="112"/>
      <c r="J46" s="112"/>
      <c r="K46" s="112"/>
      <c r="L46" s="112"/>
      <c r="M46" s="112"/>
      <c r="N46" s="112"/>
      <c r="O46" s="112"/>
      <c r="P46" s="112"/>
      <c r="Q46" s="112"/>
      <c r="R46" s="112"/>
      <c r="S46" s="112"/>
      <c r="T46" s="112"/>
      <c r="U46" s="112"/>
      <c r="V46" s="112"/>
      <c r="W46" s="112"/>
      <c r="X46" s="112"/>
      <c r="Y46" s="243">
        <v>4</v>
      </c>
      <c r="Z46" s="243">
        <v>4</v>
      </c>
      <c r="AA46" s="243">
        <v>5</v>
      </c>
      <c r="AB46" s="243">
        <v>20</v>
      </c>
      <c r="AC46" s="242">
        <f t="shared" si="0"/>
        <v>25</v>
      </c>
      <c r="AD46" s="116"/>
      <c r="AE46" s="116"/>
      <c r="AF46" s="116"/>
      <c r="AG46" s="116"/>
      <c r="AH46" s="116"/>
      <c r="AI46" s="116"/>
      <c r="AJ46" s="116"/>
      <c r="AK46" s="116"/>
      <c r="AL46" s="12" t="s">
        <v>617</v>
      </c>
      <c r="AM46" s="116"/>
    </row>
    <row r="47" spans="1:39" s="198" customFormat="1" ht="28.5" x14ac:dyDescent="0.45">
      <c r="B47" s="38"/>
      <c r="C47" s="10" t="s">
        <v>216</v>
      </c>
      <c r="D47" s="244" t="s">
        <v>618</v>
      </c>
      <c r="E47" s="112"/>
      <c r="F47" s="112"/>
      <c r="G47" s="112"/>
      <c r="H47" s="112"/>
      <c r="I47" s="112"/>
      <c r="J47" s="112"/>
      <c r="K47" s="112"/>
      <c r="L47" s="112"/>
      <c r="M47" s="112"/>
      <c r="N47" s="112"/>
      <c r="O47" s="112"/>
      <c r="P47" s="112"/>
      <c r="Q47" s="112"/>
      <c r="R47" s="112"/>
      <c r="S47" s="112"/>
      <c r="T47" s="112"/>
      <c r="U47" s="112"/>
      <c r="V47" s="112"/>
      <c r="W47" s="112"/>
      <c r="X47" s="112"/>
      <c r="Y47" s="243">
        <v>0</v>
      </c>
      <c r="Z47" s="243">
        <v>0</v>
      </c>
      <c r="AA47" s="243">
        <v>0</v>
      </c>
      <c r="AB47" s="243">
        <v>0</v>
      </c>
      <c r="AC47" s="242">
        <f t="shared" si="0"/>
        <v>0</v>
      </c>
      <c r="AD47" s="116"/>
      <c r="AE47" s="116"/>
      <c r="AF47" s="116"/>
      <c r="AG47" s="116"/>
      <c r="AH47" s="116"/>
      <c r="AI47" s="116"/>
      <c r="AJ47" s="116"/>
      <c r="AK47" s="116"/>
      <c r="AL47" s="12" t="s">
        <v>618</v>
      </c>
      <c r="AM47" s="116"/>
    </row>
    <row r="48" spans="1:39" s="198" customFormat="1" x14ac:dyDescent="0.45">
      <c r="B48" s="38"/>
      <c r="C48" s="10" t="s">
        <v>639</v>
      </c>
      <c r="D48" s="12" t="s">
        <v>619</v>
      </c>
      <c r="E48" s="112"/>
      <c r="F48" s="112"/>
      <c r="G48" s="112"/>
      <c r="H48" s="112"/>
      <c r="I48" s="112"/>
      <c r="J48" s="112"/>
      <c r="K48" s="112"/>
      <c r="L48" s="112"/>
      <c r="M48" s="112"/>
      <c r="N48" s="112"/>
      <c r="O48" s="112"/>
      <c r="P48" s="112"/>
      <c r="Q48" s="112"/>
      <c r="R48" s="112"/>
      <c r="S48" s="112"/>
      <c r="T48" s="112"/>
      <c r="U48" s="112"/>
      <c r="V48" s="112"/>
      <c r="W48" s="112"/>
      <c r="X48" s="112"/>
      <c r="Y48" s="243">
        <v>24.76909659</v>
      </c>
      <c r="Z48" s="243">
        <v>1.4502952650000001</v>
      </c>
      <c r="AA48" s="243">
        <v>23.424920449999998</v>
      </c>
      <c r="AB48" s="243">
        <v>23.693259279999999</v>
      </c>
      <c r="AC48" s="242">
        <f t="shared" si="0"/>
        <v>47.118179729999994</v>
      </c>
      <c r="AD48" s="116"/>
      <c r="AE48" s="116"/>
      <c r="AF48" s="116"/>
      <c r="AG48" s="116"/>
      <c r="AH48" s="116"/>
      <c r="AI48" s="116"/>
      <c r="AJ48" s="116"/>
      <c r="AK48" s="116"/>
      <c r="AL48" s="12" t="s">
        <v>620</v>
      </c>
      <c r="AM48" s="116"/>
    </row>
    <row r="49" spans="2:39" s="198" customFormat="1" x14ac:dyDescent="0.45">
      <c r="B49" s="38"/>
      <c r="C49" s="10" t="s">
        <v>640</v>
      </c>
      <c r="D49" s="12" t="s">
        <v>621</v>
      </c>
      <c r="E49" s="112"/>
      <c r="F49" s="112"/>
      <c r="G49" s="112"/>
      <c r="H49" s="112"/>
      <c r="I49" s="112"/>
      <c r="J49" s="112"/>
      <c r="K49" s="112"/>
      <c r="L49" s="112"/>
      <c r="M49" s="112"/>
      <c r="N49" s="112"/>
      <c r="O49" s="112"/>
      <c r="P49" s="112"/>
      <c r="Q49" s="112"/>
      <c r="R49" s="112"/>
      <c r="S49" s="112"/>
      <c r="T49" s="112"/>
      <c r="U49" s="112"/>
      <c r="V49" s="112"/>
      <c r="W49" s="112"/>
      <c r="X49" s="112"/>
      <c r="Y49" s="243">
        <v>0</v>
      </c>
      <c r="Z49" s="243">
        <v>0</v>
      </c>
      <c r="AA49" s="243">
        <v>0</v>
      </c>
      <c r="AB49" s="243">
        <v>0</v>
      </c>
      <c r="AC49" s="242">
        <f t="shared" si="0"/>
        <v>0</v>
      </c>
      <c r="AD49" s="116"/>
      <c r="AE49" s="116"/>
      <c r="AF49" s="116"/>
      <c r="AG49" s="116"/>
      <c r="AH49" s="116"/>
      <c r="AI49" s="116"/>
      <c r="AJ49" s="116"/>
      <c r="AK49" s="116"/>
      <c r="AL49" s="12" t="s">
        <v>621</v>
      </c>
      <c r="AM49" s="116"/>
    </row>
    <row r="50" spans="2:39" s="198" customFormat="1" x14ac:dyDescent="0.45">
      <c r="B50" s="38"/>
      <c r="C50" s="10" t="s">
        <v>641</v>
      </c>
      <c r="D50" s="12" t="s">
        <v>622</v>
      </c>
      <c r="E50" s="112"/>
      <c r="F50" s="112"/>
      <c r="G50" s="112"/>
      <c r="H50" s="112"/>
      <c r="I50" s="112"/>
      <c r="J50" s="112"/>
      <c r="K50" s="112"/>
      <c r="L50" s="112"/>
      <c r="M50" s="112"/>
      <c r="N50" s="112"/>
      <c r="O50" s="112"/>
      <c r="P50" s="112"/>
      <c r="Q50" s="112"/>
      <c r="R50" s="112"/>
      <c r="S50" s="112"/>
      <c r="T50" s="112"/>
      <c r="U50" s="112"/>
      <c r="V50" s="112"/>
      <c r="W50" s="112"/>
      <c r="X50" s="112"/>
      <c r="Y50" s="243">
        <v>144.0717803</v>
      </c>
      <c r="Z50" s="243">
        <v>30.48655303</v>
      </c>
      <c r="AA50" s="243">
        <v>174.30492419999999</v>
      </c>
      <c r="AB50" s="243">
        <v>187.23428029999999</v>
      </c>
      <c r="AC50" s="242">
        <f t="shared" si="0"/>
        <v>361.53920449999998</v>
      </c>
      <c r="AD50" s="116"/>
      <c r="AE50" s="116"/>
      <c r="AF50" s="116"/>
      <c r="AG50" s="116"/>
      <c r="AH50" s="116"/>
      <c r="AI50" s="116"/>
      <c r="AJ50" s="116"/>
      <c r="AK50" s="116"/>
      <c r="AL50" s="12" t="s">
        <v>623</v>
      </c>
      <c r="AM50" s="116"/>
    </row>
    <row r="51" spans="2:39" s="198" customFormat="1" x14ac:dyDescent="0.45">
      <c r="B51" s="38"/>
      <c r="C51" s="10" t="s">
        <v>642</v>
      </c>
      <c r="D51" s="12" t="s">
        <v>624</v>
      </c>
      <c r="E51" s="112"/>
      <c r="F51" s="112"/>
      <c r="G51" s="112"/>
      <c r="H51" s="112"/>
      <c r="I51" s="112"/>
      <c r="J51" s="112"/>
      <c r="K51" s="112"/>
      <c r="L51" s="112"/>
      <c r="M51" s="112"/>
      <c r="N51" s="112"/>
      <c r="O51" s="112"/>
      <c r="P51" s="112"/>
      <c r="Q51" s="112"/>
      <c r="R51" s="112"/>
      <c r="S51" s="112"/>
      <c r="T51" s="112"/>
      <c r="U51" s="112"/>
      <c r="V51" s="112"/>
      <c r="W51" s="112"/>
      <c r="X51" s="112"/>
      <c r="Y51" s="243">
        <v>0</v>
      </c>
      <c r="Z51" s="243">
        <v>0</v>
      </c>
      <c r="AA51" s="243">
        <v>0</v>
      </c>
      <c r="AB51" s="243">
        <v>0</v>
      </c>
      <c r="AC51" s="242">
        <f t="shared" si="0"/>
        <v>0</v>
      </c>
      <c r="AD51" s="116"/>
      <c r="AE51" s="116"/>
      <c r="AF51" s="116"/>
      <c r="AG51" s="116"/>
      <c r="AH51" s="116"/>
      <c r="AI51" s="116"/>
      <c r="AJ51" s="116"/>
      <c r="AK51" s="116"/>
      <c r="AL51" s="12" t="s">
        <v>624</v>
      </c>
      <c r="AM51" s="116"/>
    </row>
    <row r="52" spans="2:39" s="198" customFormat="1" x14ac:dyDescent="0.45">
      <c r="B52" s="38"/>
      <c r="C52" s="10" t="s">
        <v>643</v>
      </c>
      <c r="D52" s="12" t="s">
        <v>626</v>
      </c>
      <c r="E52" s="112"/>
      <c r="F52" s="112"/>
      <c r="G52" s="112"/>
      <c r="H52" s="112"/>
      <c r="I52" s="112"/>
      <c r="J52" s="112"/>
      <c r="K52" s="112"/>
      <c r="L52" s="112"/>
      <c r="M52" s="112"/>
      <c r="N52" s="112"/>
      <c r="O52" s="112"/>
      <c r="P52" s="112"/>
      <c r="Q52" s="112"/>
      <c r="R52" s="112"/>
      <c r="S52" s="112"/>
      <c r="T52" s="112"/>
      <c r="U52" s="112"/>
      <c r="V52" s="112"/>
      <c r="W52" s="112"/>
      <c r="X52" s="112"/>
      <c r="Y52" s="243">
        <v>3</v>
      </c>
      <c r="Z52" s="243">
        <v>2</v>
      </c>
      <c r="AA52" s="243">
        <v>1</v>
      </c>
      <c r="AB52" s="243">
        <v>2</v>
      </c>
      <c r="AC52" s="242">
        <f t="shared" si="0"/>
        <v>3</v>
      </c>
      <c r="AD52" s="116"/>
      <c r="AE52" s="116"/>
      <c r="AF52" s="116"/>
      <c r="AG52" s="116"/>
      <c r="AH52" s="116"/>
      <c r="AI52" s="116"/>
      <c r="AJ52" s="116"/>
      <c r="AK52" s="116"/>
      <c r="AL52" s="12" t="s">
        <v>627</v>
      </c>
      <c r="AM52" s="116"/>
    </row>
    <row r="53" spans="2:39" s="198" customFormat="1" x14ac:dyDescent="0.45">
      <c r="B53" s="38"/>
      <c r="C53" s="10" t="s">
        <v>644</v>
      </c>
      <c r="D53" s="12" t="s">
        <v>629</v>
      </c>
      <c r="E53" s="112"/>
      <c r="F53" s="112"/>
      <c r="G53" s="112"/>
      <c r="H53" s="112"/>
      <c r="I53" s="112"/>
      <c r="J53" s="112"/>
      <c r="K53" s="112"/>
      <c r="L53" s="112"/>
      <c r="M53" s="112"/>
      <c r="N53" s="112"/>
      <c r="O53" s="112"/>
      <c r="P53" s="112"/>
      <c r="Q53" s="112"/>
      <c r="R53" s="112"/>
      <c r="S53" s="112"/>
      <c r="T53" s="112"/>
      <c r="U53" s="112"/>
      <c r="V53" s="112"/>
      <c r="W53" s="112"/>
      <c r="X53" s="112"/>
      <c r="Y53" s="243">
        <v>0</v>
      </c>
      <c r="Z53" s="243">
        <v>0</v>
      </c>
      <c r="AA53" s="243">
        <v>0</v>
      </c>
      <c r="AB53" s="243">
        <v>0</v>
      </c>
      <c r="AC53" s="242">
        <f t="shared" si="0"/>
        <v>0</v>
      </c>
      <c r="AD53" s="116"/>
      <c r="AE53" s="116"/>
      <c r="AF53" s="116"/>
      <c r="AG53" s="116"/>
      <c r="AH53" s="116"/>
      <c r="AI53" s="116"/>
      <c r="AJ53" s="116"/>
      <c r="AK53" s="116"/>
      <c r="AL53" s="12" t="s">
        <v>629</v>
      </c>
      <c r="AM53" s="116"/>
    </row>
    <row r="54" spans="2:39" s="198" customFormat="1" x14ac:dyDescent="0.45">
      <c r="B54" s="38"/>
      <c r="C54" s="10" t="s">
        <v>645</v>
      </c>
      <c r="D54" s="12" t="s">
        <v>631</v>
      </c>
      <c r="E54" s="112"/>
      <c r="F54" s="112"/>
      <c r="G54" s="112"/>
      <c r="H54" s="112"/>
      <c r="I54" s="112"/>
      <c r="J54" s="112"/>
      <c r="K54" s="112"/>
      <c r="L54" s="112"/>
      <c r="M54" s="112"/>
      <c r="N54" s="112"/>
      <c r="O54" s="112"/>
      <c r="P54" s="112"/>
      <c r="Q54" s="112"/>
      <c r="R54" s="112"/>
      <c r="S54" s="112"/>
      <c r="T54" s="112"/>
      <c r="U54" s="112"/>
      <c r="V54" s="112"/>
      <c r="W54" s="112"/>
      <c r="X54" s="112"/>
      <c r="Y54" s="243">
        <v>2</v>
      </c>
      <c r="Z54" s="243">
        <v>2</v>
      </c>
      <c r="AA54" s="243">
        <v>8</v>
      </c>
      <c r="AB54" s="243">
        <v>18</v>
      </c>
      <c r="AC54" s="242">
        <f t="shared" si="0"/>
        <v>26</v>
      </c>
      <c r="AD54" s="116"/>
      <c r="AE54" s="116"/>
      <c r="AF54" s="116"/>
      <c r="AG54" s="116"/>
      <c r="AH54" s="116"/>
      <c r="AI54" s="116"/>
      <c r="AJ54" s="116"/>
      <c r="AK54" s="116"/>
      <c r="AL54" s="12" t="s">
        <v>632</v>
      </c>
      <c r="AM54" s="116"/>
    </row>
    <row r="55" spans="2:39" s="198" customFormat="1" x14ac:dyDescent="0.45">
      <c r="B55" s="38"/>
      <c r="C55" s="10" t="s">
        <v>646</v>
      </c>
      <c r="D55" s="12" t="s">
        <v>634</v>
      </c>
      <c r="E55" s="112"/>
      <c r="F55" s="112"/>
      <c r="G55" s="112"/>
      <c r="H55" s="112"/>
      <c r="I55" s="112"/>
      <c r="J55" s="112"/>
      <c r="K55" s="112"/>
      <c r="L55" s="112"/>
      <c r="M55" s="112"/>
      <c r="N55" s="112"/>
      <c r="O55" s="112"/>
      <c r="P55" s="112"/>
      <c r="Q55" s="112"/>
      <c r="R55" s="112"/>
      <c r="S55" s="112"/>
      <c r="T55" s="112"/>
      <c r="U55" s="112"/>
      <c r="V55" s="112"/>
      <c r="W55" s="112"/>
      <c r="X55" s="112"/>
      <c r="Y55" s="243">
        <v>0</v>
      </c>
      <c r="Z55" s="243">
        <v>0</v>
      </c>
      <c r="AA55" s="243">
        <v>0</v>
      </c>
      <c r="AB55" s="243">
        <v>0</v>
      </c>
      <c r="AC55" s="242">
        <f t="shared" si="0"/>
        <v>0</v>
      </c>
      <c r="AD55" s="116"/>
      <c r="AE55" s="116"/>
      <c r="AF55" s="116"/>
      <c r="AG55" s="116"/>
      <c r="AH55" s="116"/>
      <c r="AI55" s="116"/>
      <c r="AJ55" s="116"/>
      <c r="AK55" s="116"/>
      <c r="AL55" s="12" t="s">
        <v>634</v>
      </c>
      <c r="AM55" s="116"/>
    </row>
    <row r="56" spans="2:39" s="198" customFormat="1" x14ac:dyDescent="0.45">
      <c r="B56" s="38" t="s">
        <v>1110</v>
      </c>
      <c r="C56" s="10" t="s">
        <v>36</v>
      </c>
      <c r="D56" s="12" t="s">
        <v>622</v>
      </c>
      <c r="E56" s="112"/>
      <c r="F56" s="112"/>
      <c r="G56" s="112"/>
      <c r="H56" s="112"/>
      <c r="I56" s="112"/>
      <c r="J56" s="112"/>
      <c r="K56" s="112"/>
      <c r="L56" s="112"/>
      <c r="M56" s="112"/>
      <c r="N56" s="112"/>
      <c r="O56" s="112"/>
      <c r="P56" s="112"/>
      <c r="Q56" s="112"/>
      <c r="R56" s="112"/>
      <c r="S56" s="112"/>
      <c r="T56" s="112"/>
      <c r="U56" s="112"/>
      <c r="V56" s="112"/>
      <c r="W56" s="112"/>
      <c r="X56" s="112"/>
      <c r="Y56" s="243">
        <f>Y50+Y34+Y18</f>
        <v>3006.7513261999998</v>
      </c>
      <c r="Z56" s="243">
        <f>Z50+Z34+Z18</f>
        <v>72.968560609000008</v>
      </c>
      <c r="AA56" s="243">
        <f>AA50+AA34+AA18</f>
        <v>1825.9617427000001</v>
      </c>
      <c r="AB56" s="243">
        <f>AB50+AB34+AB18</f>
        <v>1642.2645838149999</v>
      </c>
      <c r="AC56" s="243">
        <f>AC50+AC34+AC18</f>
        <v>3468.2263265149995</v>
      </c>
      <c r="AD56" s="116"/>
      <c r="AE56" s="116"/>
      <c r="AF56" s="116"/>
      <c r="AG56" s="116"/>
      <c r="AH56" s="116"/>
      <c r="AI56" s="116"/>
      <c r="AJ56" s="116"/>
      <c r="AK56" s="116"/>
      <c r="AL56" s="12" t="s">
        <v>623</v>
      </c>
      <c r="AM56" s="116"/>
    </row>
  </sheetData>
  <dataValidations count="1">
    <dataValidation type="custom" operator="greaterThanOrEqual" allowBlank="1" showInputMessage="1" showErrorMessage="1" error="This cell only accepts a number of &quot;NA&quot;_x000a_" sqref="E8:AK56" xr:uid="{A7D05AF5-C11E-44D6-8B8B-DCF65204CE95}">
      <formula1>OR(AND(ISNUMBER(E8), E8&gt;=0), E8 ="NA")</formula1>
    </dataValidation>
  </dataValidations>
  <pageMargins left="0.7" right="0.7" top="0.75" bottom="0.75" header="0.3" footer="0.3"/>
  <pageSetup paperSize="5" scale="61" fitToHeight="0" orientation="landscape" r:id="rId1"/>
  <headerFooter>
    <oddFooter>&amp;LSDGE 2021 WMP - &amp;A&amp;C&amp;P&amp;R&amp;D</oddFooter>
  </headerFooter>
  <customProperties>
    <customPr name="_pios_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3AC4E-2D6B-49E9-98C5-69867774233D}">
  <sheetPr codeName="Sheet11">
    <pageSetUpPr fitToPage="1"/>
  </sheetPr>
  <dimension ref="A1:R31"/>
  <sheetViews>
    <sheetView view="pageLayout" zoomScale="40" zoomScaleNormal="100" zoomScaleSheetLayoutView="140" zoomScalePageLayoutView="40" workbookViewId="0">
      <selection activeCell="C5" sqref="C5"/>
    </sheetView>
  </sheetViews>
  <sheetFormatPr defaultColWidth="9.265625" defaultRowHeight="14.25" x14ac:dyDescent="0.45"/>
  <cols>
    <col min="1" max="1" width="5.59765625" style="85" customWidth="1"/>
    <col min="2" max="2" width="50.59765625" style="86" customWidth="1"/>
    <col min="3" max="3" width="10.73046875" style="85" bestFit="1" customWidth="1"/>
    <col min="4" max="4" width="75.59765625" style="85" customWidth="1"/>
    <col min="5" max="5" width="10.86328125" style="85" bestFit="1" customWidth="1"/>
    <col min="6" max="6" width="12.3984375" style="85" bestFit="1" customWidth="1"/>
    <col min="7" max="8" width="11.3984375" style="85" bestFit="1" customWidth="1"/>
    <col min="9" max="9" width="10.86328125" style="85" bestFit="1" customWidth="1"/>
    <col min="10" max="10" width="12.3984375" style="85" bestFit="1" customWidth="1"/>
    <col min="11" max="12" width="11.3984375" style="85" bestFit="1" customWidth="1"/>
    <col min="13" max="13" width="10.86328125" style="85" bestFit="1" customWidth="1"/>
    <col min="14" max="14" width="12.3984375" style="85" bestFit="1" customWidth="1"/>
    <col min="15" max="16" width="11.3984375" style="85" bestFit="1" customWidth="1"/>
    <col min="17" max="17" width="54" style="86" customWidth="1"/>
    <col min="18" max="18" width="48.59765625" style="85" customWidth="1"/>
    <col min="19" max="16384" width="9.265625" style="85"/>
  </cols>
  <sheetData>
    <row r="1" spans="1:18" ht="14.65" thickBot="1" x14ac:dyDescent="0.5"/>
    <row r="2" spans="1:18" x14ac:dyDescent="0.45">
      <c r="B2" s="87" t="s">
        <v>0</v>
      </c>
      <c r="C2" s="88" t="str">
        <f>IF('Quarterly Submission Guide'!$D$20 = "", "",'Quarterly Submission Guide'!$D$20)</f>
        <v>SDG&amp;E</v>
      </c>
      <c r="D2" s="89" t="s">
        <v>1</v>
      </c>
    </row>
    <row r="3" spans="1:18" x14ac:dyDescent="0.45">
      <c r="B3" s="90" t="s">
        <v>2</v>
      </c>
      <c r="C3" s="91">
        <v>9</v>
      </c>
      <c r="D3" s="92" t="s">
        <v>647</v>
      </c>
    </row>
    <row r="4" spans="1:18" ht="14.65" thickBot="1" x14ac:dyDescent="0.5">
      <c r="B4" s="93" t="s">
        <v>4</v>
      </c>
      <c r="C4" s="94">
        <v>44232</v>
      </c>
      <c r="D4" s="95" t="s">
        <v>648</v>
      </c>
    </row>
    <row r="5" spans="1:18" x14ac:dyDescent="0.45">
      <c r="D5" s="96"/>
      <c r="E5" s="97" t="s">
        <v>649</v>
      </c>
      <c r="F5" s="97"/>
      <c r="G5" s="97"/>
      <c r="H5" s="97"/>
      <c r="I5" s="98" t="s">
        <v>650</v>
      </c>
      <c r="J5" s="98"/>
      <c r="K5" s="98"/>
      <c r="L5" s="98"/>
      <c r="M5" s="98"/>
      <c r="N5" s="98"/>
      <c r="O5" s="98"/>
      <c r="P5" s="98"/>
    </row>
    <row r="6" spans="1:18" ht="18" customHeight="1" x14ac:dyDescent="0.45">
      <c r="B6" s="99" t="s">
        <v>651</v>
      </c>
      <c r="C6" s="92"/>
      <c r="D6" s="92"/>
      <c r="E6" s="92" t="s">
        <v>582</v>
      </c>
      <c r="F6" s="92" t="s">
        <v>583</v>
      </c>
      <c r="G6" s="92" t="s">
        <v>584</v>
      </c>
      <c r="H6" s="92" t="s">
        <v>585</v>
      </c>
      <c r="I6" s="92" t="s">
        <v>582</v>
      </c>
      <c r="J6" s="92" t="s">
        <v>583</v>
      </c>
      <c r="K6" s="92" t="s">
        <v>584</v>
      </c>
      <c r="L6" s="92" t="s">
        <v>585</v>
      </c>
      <c r="M6" s="92" t="s">
        <v>582</v>
      </c>
      <c r="N6" s="92" t="s">
        <v>583</v>
      </c>
      <c r="O6" s="92" t="s">
        <v>584</v>
      </c>
      <c r="P6" s="92" t="s">
        <v>585</v>
      </c>
      <c r="Q6" s="100"/>
      <c r="R6" s="92"/>
    </row>
    <row r="7" spans="1:18" x14ac:dyDescent="0.45">
      <c r="B7" s="101" t="s">
        <v>7</v>
      </c>
      <c r="C7" s="102" t="s">
        <v>8</v>
      </c>
      <c r="D7" s="102" t="s">
        <v>104</v>
      </c>
      <c r="E7" s="102">
        <v>2020</v>
      </c>
      <c r="F7" s="102">
        <v>2020</v>
      </c>
      <c r="G7" s="102">
        <v>2020</v>
      </c>
      <c r="H7" s="102">
        <v>2020</v>
      </c>
      <c r="I7" s="102">
        <v>2021</v>
      </c>
      <c r="J7" s="102">
        <v>2021</v>
      </c>
      <c r="K7" s="102">
        <v>2021</v>
      </c>
      <c r="L7" s="102">
        <v>2021</v>
      </c>
      <c r="M7" s="102">
        <v>2022</v>
      </c>
      <c r="N7" s="102">
        <v>2022</v>
      </c>
      <c r="O7" s="102">
        <v>2022</v>
      </c>
      <c r="P7" s="102">
        <v>2022</v>
      </c>
      <c r="Q7" s="101" t="s">
        <v>10</v>
      </c>
      <c r="R7" s="102" t="s">
        <v>11</v>
      </c>
    </row>
    <row r="8" spans="1:18" ht="30" customHeight="1" x14ac:dyDescent="0.45">
      <c r="A8" s="85" t="s">
        <v>333</v>
      </c>
      <c r="B8" s="103" t="s">
        <v>652</v>
      </c>
      <c r="C8" s="104" t="s">
        <v>13</v>
      </c>
      <c r="D8" s="105" t="s">
        <v>619</v>
      </c>
      <c r="E8" s="110"/>
      <c r="F8" s="159"/>
      <c r="G8" s="110"/>
      <c r="H8" s="110"/>
      <c r="I8" s="110"/>
      <c r="J8" s="159"/>
      <c r="K8" s="110"/>
      <c r="L8" s="110"/>
      <c r="M8" s="110"/>
      <c r="N8" s="159"/>
      <c r="O8" s="110"/>
      <c r="P8" s="110"/>
      <c r="Q8" s="105" t="s">
        <v>608</v>
      </c>
      <c r="R8" s="105"/>
    </row>
    <row r="9" spans="1:18" x14ac:dyDescent="0.45">
      <c r="B9" s="106"/>
      <c r="C9" s="107" t="s">
        <v>16</v>
      </c>
      <c r="D9" s="105" t="s">
        <v>622</v>
      </c>
      <c r="E9" s="111"/>
      <c r="F9" s="160"/>
      <c r="G9" s="111"/>
      <c r="H9" s="111"/>
      <c r="I9" s="111"/>
      <c r="J9" s="160"/>
      <c r="K9" s="111"/>
      <c r="L9" s="111"/>
      <c r="M9" s="111"/>
      <c r="N9" s="160"/>
      <c r="O9" s="111"/>
      <c r="P9" s="111"/>
      <c r="Q9" s="105" t="s">
        <v>608</v>
      </c>
      <c r="R9" s="105"/>
    </row>
    <row r="10" spans="1:18" x14ac:dyDescent="0.45">
      <c r="B10" s="108"/>
      <c r="C10" s="107" t="s">
        <v>18</v>
      </c>
      <c r="D10" s="105" t="s">
        <v>621</v>
      </c>
      <c r="E10" s="112"/>
      <c r="F10" s="161"/>
      <c r="G10" s="112"/>
      <c r="H10" s="112"/>
      <c r="I10" s="112"/>
      <c r="J10" s="161"/>
      <c r="K10" s="112"/>
      <c r="L10" s="112"/>
      <c r="M10" s="112"/>
      <c r="N10" s="161"/>
      <c r="O10" s="112"/>
      <c r="P10" s="112"/>
      <c r="Q10" s="105" t="s">
        <v>609</v>
      </c>
      <c r="R10" s="105"/>
    </row>
    <row r="11" spans="1:18" x14ac:dyDescent="0.45">
      <c r="B11" s="108"/>
      <c r="C11" s="107" t="s">
        <v>20</v>
      </c>
      <c r="D11" s="105" t="s">
        <v>624</v>
      </c>
      <c r="E11" s="112"/>
      <c r="F11" s="161"/>
      <c r="G11" s="112"/>
      <c r="H11" s="112"/>
      <c r="I11" s="112"/>
      <c r="J11" s="161"/>
      <c r="K11" s="112"/>
      <c r="L11" s="112"/>
      <c r="M11" s="112"/>
      <c r="N11" s="161"/>
      <c r="O11" s="112"/>
      <c r="P11" s="112"/>
      <c r="Q11" s="105" t="s">
        <v>609</v>
      </c>
      <c r="R11" s="105"/>
    </row>
    <row r="12" spans="1:18" x14ac:dyDescent="0.45">
      <c r="B12" s="108"/>
      <c r="C12" s="107" t="s">
        <v>23</v>
      </c>
      <c r="D12" s="105" t="s">
        <v>626</v>
      </c>
      <c r="E12" s="112"/>
      <c r="F12" s="161"/>
      <c r="G12" s="112"/>
      <c r="H12" s="112"/>
      <c r="I12" s="112"/>
      <c r="J12" s="161"/>
      <c r="K12" s="112"/>
      <c r="L12" s="112"/>
      <c r="M12" s="112"/>
      <c r="N12" s="161"/>
      <c r="O12" s="112"/>
      <c r="P12" s="112"/>
      <c r="Q12" s="105" t="s">
        <v>627</v>
      </c>
      <c r="R12" s="105"/>
    </row>
    <row r="13" spans="1:18" x14ac:dyDescent="0.45">
      <c r="B13" s="108"/>
      <c r="C13" s="107" t="s">
        <v>25</v>
      </c>
      <c r="D13" s="109" t="s">
        <v>629</v>
      </c>
      <c r="E13" s="112"/>
      <c r="F13" s="161"/>
      <c r="G13" s="112"/>
      <c r="H13" s="112"/>
      <c r="I13" s="112"/>
      <c r="J13" s="161"/>
      <c r="K13" s="112"/>
      <c r="L13" s="112"/>
      <c r="M13" s="112"/>
      <c r="N13" s="161"/>
      <c r="O13" s="112"/>
      <c r="P13" s="112"/>
      <c r="Q13" s="105" t="s">
        <v>629</v>
      </c>
      <c r="R13" s="105"/>
    </row>
    <row r="14" spans="1:18" x14ac:dyDescent="0.45">
      <c r="B14" s="108"/>
      <c r="C14" s="107" t="s">
        <v>27</v>
      </c>
      <c r="D14" s="109" t="s">
        <v>631</v>
      </c>
      <c r="E14" s="112"/>
      <c r="F14" s="161"/>
      <c r="G14" s="112"/>
      <c r="H14" s="112"/>
      <c r="I14" s="112"/>
      <c r="J14" s="161"/>
      <c r="K14" s="112"/>
      <c r="L14" s="112"/>
      <c r="M14" s="112"/>
      <c r="N14" s="161"/>
      <c r="O14" s="112"/>
      <c r="P14" s="112"/>
      <c r="Q14" s="105" t="s">
        <v>632</v>
      </c>
      <c r="R14" s="105"/>
    </row>
    <row r="15" spans="1:18" x14ac:dyDescent="0.45">
      <c r="B15" s="108"/>
      <c r="C15" s="107" t="s">
        <v>29</v>
      </c>
      <c r="D15" s="109" t="s">
        <v>634</v>
      </c>
      <c r="E15" s="112"/>
      <c r="F15" s="161"/>
      <c r="G15" s="112"/>
      <c r="H15" s="112"/>
      <c r="I15" s="112"/>
      <c r="J15" s="161"/>
      <c r="K15" s="112"/>
      <c r="L15" s="112"/>
      <c r="M15" s="112"/>
      <c r="N15" s="161"/>
      <c r="O15" s="112"/>
      <c r="P15" s="112"/>
      <c r="Q15" s="105" t="s">
        <v>634</v>
      </c>
      <c r="R15" s="105"/>
    </row>
    <row r="16" spans="1:18" ht="28.5" x14ac:dyDescent="0.45">
      <c r="A16" s="85" t="s">
        <v>333</v>
      </c>
      <c r="B16" s="108" t="s">
        <v>653</v>
      </c>
      <c r="C16" s="107" t="s">
        <v>114</v>
      </c>
      <c r="D16" s="105" t="s">
        <v>619</v>
      </c>
      <c r="E16" s="112"/>
      <c r="F16" s="161"/>
      <c r="G16" s="112"/>
      <c r="H16" s="112"/>
      <c r="I16" s="112"/>
      <c r="J16" s="161"/>
      <c r="K16" s="112"/>
      <c r="L16" s="112"/>
      <c r="M16" s="112"/>
      <c r="N16" s="161"/>
      <c r="O16" s="112"/>
      <c r="P16" s="112"/>
      <c r="Q16" s="105" t="s">
        <v>608</v>
      </c>
      <c r="R16" s="105"/>
    </row>
    <row r="17" spans="1:18" x14ac:dyDescent="0.45">
      <c r="B17" s="108"/>
      <c r="C17" s="107" t="s">
        <v>116</v>
      </c>
      <c r="D17" s="105" t="s">
        <v>622</v>
      </c>
      <c r="E17" s="112"/>
      <c r="F17" s="161"/>
      <c r="G17" s="112"/>
      <c r="H17" s="112"/>
      <c r="I17" s="112"/>
      <c r="J17" s="161"/>
      <c r="K17" s="112"/>
      <c r="L17" s="112"/>
      <c r="M17" s="112"/>
      <c r="N17" s="161"/>
      <c r="O17" s="112"/>
      <c r="P17" s="112"/>
      <c r="Q17" s="105" t="s">
        <v>608</v>
      </c>
      <c r="R17" s="105"/>
    </row>
    <row r="18" spans="1:18" x14ac:dyDescent="0.45">
      <c r="B18" s="108"/>
      <c r="C18" s="107" t="s">
        <v>118</v>
      </c>
      <c r="D18" s="105" t="s">
        <v>621</v>
      </c>
      <c r="E18" s="112"/>
      <c r="F18" s="161"/>
      <c r="G18" s="112"/>
      <c r="H18" s="112"/>
      <c r="I18" s="112"/>
      <c r="J18" s="161"/>
      <c r="K18" s="112"/>
      <c r="L18" s="112"/>
      <c r="M18" s="112"/>
      <c r="N18" s="161"/>
      <c r="O18" s="112"/>
      <c r="P18" s="112"/>
      <c r="Q18" s="105" t="s">
        <v>609</v>
      </c>
      <c r="R18" s="105"/>
    </row>
    <row r="19" spans="1:18" x14ac:dyDescent="0.45">
      <c r="B19" s="108"/>
      <c r="C19" s="107" t="s">
        <v>120</v>
      </c>
      <c r="D19" s="105" t="s">
        <v>624</v>
      </c>
      <c r="E19" s="112"/>
      <c r="F19" s="161"/>
      <c r="G19" s="112"/>
      <c r="H19" s="112"/>
      <c r="I19" s="112"/>
      <c r="J19" s="161"/>
      <c r="K19" s="112"/>
      <c r="L19" s="112"/>
      <c r="M19" s="112"/>
      <c r="N19" s="161"/>
      <c r="O19" s="112"/>
      <c r="P19" s="112"/>
      <c r="Q19" s="105" t="s">
        <v>609</v>
      </c>
      <c r="R19" s="105"/>
    </row>
    <row r="20" spans="1:18" x14ac:dyDescent="0.45">
      <c r="B20" s="108"/>
      <c r="C20" s="107" t="s">
        <v>194</v>
      </c>
      <c r="D20" s="105" t="s">
        <v>626</v>
      </c>
      <c r="E20" s="112"/>
      <c r="F20" s="161"/>
      <c r="G20" s="112"/>
      <c r="H20" s="112"/>
      <c r="I20" s="112"/>
      <c r="J20" s="161"/>
      <c r="K20" s="112"/>
      <c r="L20" s="112"/>
      <c r="M20" s="112"/>
      <c r="N20" s="161"/>
      <c r="O20" s="112"/>
      <c r="P20" s="112"/>
      <c r="Q20" s="105" t="s">
        <v>627</v>
      </c>
      <c r="R20" s="105"/>
    </row>
    <row r="21" spans="1:18" x14ac:dyDescent="0.45">
      <c r="B21" s="108"/>
      <c r="C21" s="107" t="s">
        <v>196</v>
      </c>
      <c r="D21" s="105" t="s">
        <v>629</v>
      </c>
      <c r="E21" s="112"/>
      <c r="F21" s="161"/>
      <c r="G21" s="112"/>
      <c r="H21" s="112"/>
      <c r="I21" s="112"/>
      <c r="J21" s="161"/>
      <c r="K21" s="112"/>
      <c r="L21" s="112"/>
      <c r="M21" s="112"/>
      <c r="N21" s="161"/>
      <c r="O21" s="112"/>
      <c r="P21" s="112"/>
      <c r="Q21" s="105" t="s">
        <v>629</v>
      </c>
      <c r="R21" s="105"/>
    </row>
    <row r="22" spans="1:18" x14ac:dyDescent="0.45">
      <c r="B22" s="108"/>
      <c r="C22" s="107" t="s">
        <v>198</v>
      </c>
      <c r="D22" s="105" t="s">
        <v>631</v>
      </c>
      <c r="E22" s="112"/>
      <c r="F22" s="161"/>
      <c r="G22" s="112"/>
      <c r="H22" s="112"/>
      <c r="I22" s="112"/>
      <c r="J22" s="161"/>
      <c r="K22" s="112"/>
      <c r="L22" s="112"/>
      <c r="M22" s="112"/>
      <c r="N22" s="161"/>
      <c r="O22" s="112"/>
      <c r="P22" s="112"/>
      <c r="Q22" s="105" t="s">
        <v>632</v>
      </c>
      <c r="R22" s="105"/>
    </row>
    <row r="23" spans="1:18" x14ac:dyDescent="0.45">
      <c r="B23" s="108"/>
      <c r="C23" s="107" t="s">
        <v>200</v>
      </c>
      <c r="D23" s="105" t="s">
        <v>634</v>
      </c>
      <c r="E23" s="112"/>
      <c r="F23" s="161"/>
      <c r="G23" s="112"/>
      <c r="H23" s="112"/>
      <c r="I23" s="112"/>
      <c r="J23" s="161"/>
      <c r="K23" s="112"/>
      <c r="L23" s="112"/>
      <c r="M23" s="112"/>
      <c r="N23" s="161"/>
      <c r="O23" s="112"/>
      <c r="P23" s="112"/>
      <c r="Q23" s="105" t="s">
        <v>634</v>
      </c>
      <c r="R23" s="105"/>
    </row>
    <row r="24" spans="1:18" ht="28.5" x14ac:dyDescent="0.45">
      <c r="A24" s="85" t="s">
        <v>333</v>
      </c>
      <c r="B24" s="108" t="s">
        <v>654</v>
      </c>
      <c r="C24" s="107" t="s">
        <v>93</v>
      </c>
      <c r="D24" s="105" t="s">
        <v>619</v>
      </c>
      <c r="E24" s="112"/>
      <c r="F24" s="161"/>
      <c r="G24" s="112"/>
      <c r="H24" s="112"/>
      <c r="I24" s="112"/>
      <c r="J24" s="161"/>
      <c r="K24" s="112"/>
      <c r="L24" s="112"/>
      <c r="M24" s="112"/>
      <c r="N24" s="161"/>
      <c r="O24" s="112"/>
      <c r="P24" s="112"/>
      <c r="Q24" s="105" t="s">
        <v>608</v>
      </c>
      <c r="R24" s="105"/>
    </row>
    <row r="25" spans="1:18" x14ac:dyDescent="0.45">
      <c r="B25" s="108"/>
      <c r="C25" s="107" t="s">
        <v>97</v>
      </c>
      <c r="D25" s="105" t="s">
        <v>622</v>
      </c>
      <c r="E25" s="112"/>
      <c r="F25" s="161"/>
      <c r="G25" s="112"/>
      <c r="H25" s="112"/>
      <c r="I25" s="112"/>
      <c r="J25" s="161"/>
      <c r="K25" s="112"/>
      <c r="L25" s="112"/>
      <c r="M25" s="112"/>
      <c r="N25" s="161"/>
      <c r="O25" s="112"/>
      <c r="P25" s="112"/>
      <c r="Q25" s="105" t="s">
        <v>608</v>
      </c>
      <c r="R25" s="105"/>
    </row>
    <row r="26" spans="1:18" x14ac:dyDescent="0.45">
      <c r="B26" s="108"/>
      <c r="C26" s="107" t="s">
        <v>100</v>
      </c>
      <c r="D26" s="105" t="s">
        <v>621</v>
      </c>
      <c r="E26" s="112"/>
      <c r="F26" s="161"/>
      <c r="G26" s="112"/>
      <c r="H26" s="112"/>
      <c r="I26" s="112"/>
      <c r="J26" s="161"/>
      <c r="K26" s="112"/>
      <c r="L26" s="112"/>
      <c r="M26" s="112"/>
      <c r="N26" s="161"/>
      <c r="O26" s="112"/>
      <c r="P26" s="112"/>
      <c r="Q26" s="105" t="s">
        <v>609</v>
      </c>
      <c r="R26" s="105"/>
    </row>
    <row r="27" spans="1:18" x14ac:dyDescent="0.45">
      <c r="B27" s="108"/>
      <c r="C27" s="107" t="s">
        <v>208</v>
      </c>
      <c r="D27" s="105" t="s">
        <v>624</v>
      </c>
      <c r="E27" s="112"/>
      <c r="F27" s="161"/>
      <c r="G27" s="112"/>
      <c r="H27" s="112"/>
      <c r="I27" s="112"/>
      <c r="J27" s="161"/>
      <c r="K27" s="112"/>
      <c r="L27" s="112"/>
      <c r="M27" s="112"/>
      <c r="N27" s="161"/>
      <c r="O27" s="112"/>
      <c r="P27" s="112"/>
      <c r="Q27" s="105" t="s">
        <v>609</v>
      </c>
      <c r="R27" s="105"/>
    </row>
    <row r="28" spans="1:18" x14ac:dyDescent="0.45">
      <c r="B28" s="108"/>
      <c r="C28" s="107" t="s">
        <v>210</v>
      </c>
      <c r="D28" s="105" t="s">
        <v>626</v>
      </c>
      <c r="E28" s="112"/>
      <c r="F28" s="161"/>
      <c r="G28" s="112"/>
      <c r="H28" s="112"/>
      <c r="I28" s="112"/>
      <c r="J28" s="161"/>
      <c r="K28" s="112"/>
      <c r="L28" s="112"/>
      <c r="M28" s="112"/>
      <c r="N28" s="161"/>
      <c r="O28" s="112"/>
      <c r="P28" s="112"/>
      <c r="Q28" s="105" t="s">
        <v>627</v>
      </c>
      <c r="R28" s="105"/>
    </row>
    <row r="29" spans="1:18" x14ac:dyDescent="0.45">
      <c r="B29" s="108"/>
      <c r="C29" s="107" t="s">
        <v>212</v>
      </c>
      <c r="D29" s="105" t="s">
        <v>629</v>
      </c>
      <c r="E29" s="112"/>
      <c r="F29" s="161"/>
      <c r="G29" s="112"/>
      <c r="H29" s="112"/>
      <c r="I29" s="112"/>
      <c r="J29" s="161"/>
      <c r="K29" s="112"/>
      <c r="L29" s="112"/>
      <c r="M29" s="112"/>
      <c r="N29" s="161"/>
      <c r="O29" s="112"/>
      <c r="P29" s="112"/>
      <c r="Q29" s="105" t="s">
        <v>629</v>
      </c>
      <c r="R29" s="105"/>
    </row>
    <row r="30" spans="1:18" x14ac:dyDescent="0.45">
      <c r="B30" s="108"/>
      <c r="C30" s="107" t="s">
        <v>214</v>
      </c>
      <c r="D30" s="105" t="s">
        <v>631</v>
      </c>
      <c r="E30" s="112"/>
      <c r="F30" s="161"/>
      <c r="G30" s="112"/>
      <c r="H30" s="112"/>
      <c r="I30" s="112"/>
      <c r="J30" s="161"/>
      <c r="K30" s="112"/>
      <c r="L30" s="112"/>
      <c r="M30" s="112"/>
      <c r="N30" s="161"/>
      <c r="O30" s="112"/>
      <c r="P30" s="112"/>
      <c r="Q30" s="105" t="s">
        <v>632</v>
      </c>
      <c r="R30" s="105"/>
    </row>
    <row r="31" spans="1:18" x14ac:dyDescent="0.45">
      <c r="B31" s="108"/>
      <c r="C31" s="107" t="s">
        <v>216</v>
      </c>
      <c r="D31" s="105" t="s">
        <v>634</v>
      </c>
      <c r="E31" s="112"/>
      <c r="F31" s="161"/>
      <c r="G31" s="112"/>
      <c r="H31" s="112"/>
      <c r="I31" s="112"/>
      <c r="J31" s="161"/>
      <c r="K31" s="112"/>
      <c r="L31" s="112"/>
      <c r="M31" s="112"/>
      <c r="N31" s="161"/>
      <c r="O31" s="112"/>
      <c r="P31" s="112"/>
      <c r="Q31" s="105" t="s">
        <v>634</v>
      </c>
      <c r="R31" s="105"/>
    </row>
  </sheetData>
  <dataValidations disablePrompts="1" count="1">
    <dataValidation type="custom" operator="greaterThanOrEqual" allowBlank="1" showInputMessage="1" showErrorMessage="1" error="This cell only accepts a number of &quot;NA&quot;_x000a_" sqref="E8:P31" xr:uid="{DA3BFB5C-0F7A-4144-A795-DA5546C167FC}">
      <formula1>OR(AND(ISNUMBER(E8), E8&gt;=0), E8 ="NA")</formula1>
    </dataValidation>
  </dataValidations>
  <pageMargins left="0.7" right="0.7" top="0.75" bottom="0.75" header="0.3" footer="0.3"/>
  <pageSetup paperSize="5" scale="41" fitToHeight="0" orientation="landscape" r:id="rId1"/>
  <headerFooter>
    <oddFooter>&amp;LSDGE 2021 WMP - &amp;A&amp;C&amp;P&amp;R&amp;D</oddFooter>
  </headerFooter>
  <customProperties>
    <customPr name="_pios_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7FD3F-1273-4BA6-80F2-6C690362AF7D}">
  <sheetPr codeName="Sheet12">
    <pageSetUpPr fitToPage="1"/>
  </sheetPr>
  <dimension ref="A1:R31"/>
  <sheetViews>
    <sheetView view="pageLayout" topLeftCell="A22" zoomScaleNormal="100" workbookViewId="0">
      <selection activeCell="D19" sqref="D19"/>
    </sheetView>
  </sheetViews>
  <sheetFormatPr defaultColWidth="9.265625" defaultRowHeight="14.25" x14ac:dyDescent="0.45"/>
  <cols>
    <col min="1" max="1" width="5.59765625" style="8" customWidth="1"/>
    <col min="2" max="2" width="40.59765625" style="1" customWidth="1"/>
    <col min="3" max="3" width="9.265625" style="8" customWidth="1"/>
    <col min="4" max="4" width="95.265625" style="8" customWidth="1"/>
    <col min="5" max="5" width="10.86328125" style="8" bestFit="1" customWidth="1"/>
    <col min="6" max="6" width="12.3984375" style="8" bestFit="1" customWidth="1"/>
    <col min="7" max="8" width="11.3984375" style="8" bestFit="1" customWidth="1"/>
    <col min="9" max="9" width="10.86328125" style="8" bestFit="1" customWidth="1"/>
    <col min="10" max="10" width="12.3984375" style="8" bestFit="1" customWidth="1"/>
    <col min="11" max="12" width="11.3984375" style="8" bestFit="1" customWidth="1"/>
    <col min="13" max="13" width="10.86328125" style="8" bestFit="1" customWidth="1"/>
    <col min="14" max="14" width="12.3984375" style="8" bestFit="1" customWidth="1"/>
    <col min="15" max="16" width="11.3984375" style="8" bestFit="1" customWidth="1"/>
    <col min="17" max="17" width="45.265625" style="1" customWidth="1"/>
    <col min="18" max="18" width="34.59765625" style="8" customWidth="1"/>
    <col min="19" max="16384" width="9.265625" style="8"/>
  </cols>
  <sheetData>
    <row r="1" spans="1:18" ht="14.65" thickBot="1" x14ac:dyDescent="0.5">
      <c r="B1" s="17"/>
    </row>
    <row r="2" spans="1:18" x14ac:dyDescent="0.45">
      <c r="B2" s="14" t="s">
        <v>0</v>
      </c>
      <c r="C2" s="19" t="str">
        <f>IF('Quarterly Submission Guide'!$D$20 = "", "",'Quarterly Submission Guide'!$D$20)</f>
        <v>SDG&amp;E</v>
      </c>
      <c r="D2" s="57" t="s">
        <v>1</v>
      </c>
    </row>
    <row r="3" spans="1:18" x14ac:dyDescent="0.45">
      <c r="B3" s="15" t="s">
        <v>2</v>
      </c>
      <c r="C3" s="44">
        <v>10</v>
      </c>
      <c r="D3" s="2" t="s">
        <v>3</v>
      </c>
    </row>
    <row r="4" spans="1:18" ht="14.65" thickBot="1" x14ac:dyDescent="0.5">
      <c r="B4" s="16" t="s">
        <v>4</v>
      </c>
      <c r="C4" s="30">
        <v>44232</v>
      </c>
      <c r="D4" s="60" t="s">
        <v>655</v>
      </c>
    </row>
    <row r="5" spans="1:18" x14ac:dyDescent="0.45">
      <c r="D5" s="63" t="s">
        <v>656</v>
      </c>
      <c r="E5" s="42" t="s">
        <v>649</v>
      </c>
      <c r="F5" s="42"/>
      <c r="G5" s="42"/>
      <c r="H5" s="42"/>
      <c r="I5" s="43" t="s">
        <v>650</v>
      </c>
      <c r="J5" s="43"/>
      <c r="K5" s="43"/>
      <c r="L5" s="43"/>
      <c r="M5" s="43"/>
      <c r="N5" s="43"/>
      <c r="O5" s="43"/>
      <c r="P5" s="43"/>
    </row>
    <row r="6" spans="1:18" ht="18" customHeight="1" x14ac:dyDescent="0.45">
      <c r="B6" s="3" t="s">
        <v>657</v>
      </c>
      <c r="C6" s="2"/>
      <c r="D6" s="2"/>
      <c r="E6" s="2" t="s">
        <v>582</v>
      </c>
      <c r="F6" s="2" t="s">
        <v>583</v>
      </c>
      <c r="G6" s="2" t="s">
        <v>584</v>
      </c>
      <c r="H6" s="2" t="s">
        <v>585</v>
      </c>
      <c r="I6" s="2" t="s">
        <v>582</v>
      </c>
      <c r="J6" s="2" t="s">
        <v>583</v>
      </c>
      <c r="K6" s="2" t="s">
        <v>584</v>
      </c>
      <c r="L6" s="2" t="s">
        <v>585</v>
      </c>
      <c r="M6" s="2" t="s">
        <v>582</v>
      </c>
      <c r="N6" s="2" t="s">
        <v>583</v>
      </c>
      <c r="O6" s="2" t="s">
        <v>584</v>
      </c>
      <c r="P6" s="2" t="s">
        <v>585</v>
      </c>
      <c r="Q6" s="7"/>
      <c r="R6" s="2"/>
    </row>
    <row r="7" spans="1:18" x14ac:dyDescent="0.45">
      <c r="B7" s="5" t="s">
        <v>7</v>
      </c>
      <c r="C7" s="6" t="s">
        <v>8</v>
      </c>
      <c r="D7" s="6" t="s">
        <v>104</v>
      </c>
      <c r="E7" s="6">
        <v>2020</v>
      </c>
      <c r="F7" s="6">
        <v>2020</v>
      </c>
      <c r="G7" s="6">
        <v>2020</v>
      </c>
      <c r="H7" s="6">
        <v>2020</v>
      </c>
      <c r="I7" s="6">
        <v>2021</v>
      </c>
      <c r="J7" s="6">
        <v>2021</v>
      </c>
      <c r="K7" s="6">
        <v>2021</v>
      </c>
      <c r="L7" s="6">
        <v>2021</v>
      </c>
      <c r="M7" s="6">
        <v>2022</v>
      </c>
      <c r="N7" s="6">
        <v>2022</v>
      </c>
      <c r="O7" s="6">
        <v>2022</v>
      </c>
      <c r="P7" s="6">
        <v>2022</v>
      </c>
      <c r="Q7" s="5" t="s">
        <v>10</v>
      </c>
      <c r="R7" s="6" t="s">
        <v>11</v>
      </c>
    </row>
    <row r="8" spans="1:18" ht="28.5" x14ac:dyDescent="0.45">
      <c r="A8" s="8" t="s">
        <v>333</v>
      </c>
      <c r="B8" s="37" t="s">
        <v>658</v>
      </c>
      <c r="C8" s="9" t="s">
        <v>13</v>
      </c>
      <c r="D8" s="12" t="s">
        <v>659</v>
      </c>
      <c r="E8" s="110">
        <v>0.2</v>
      </c>
      <c r="F8" s="159"/>
      <c r="G8" s="110">
        <v>9.6</v>
      </c>
      <c r="H8" s="110">
        <v>0</v>
      </c>
      <c r="I8" s="110">
        <v>0</v>
      </c>
      <c r="J8" s="159"/>
      <c r="K8" s="110">
        <v>0</v>
      </c>
      <c r="L8" s="110">
        <v>0</v>
      </c>
      <c r="M8" s="110">
        <v>0.2</v>
      </c>
      <c r="N8" s="159"/>
      <c r="O8" s="110">
        <v>0.3</v>
      </c>
      <c r="P8" s="110">
        <v>0</v>
      </c>
      <c r="Q8" s="12" t="s">
        <v>608</v>
      </c>
      <c r="R8" s="12"/>
    </row>
    <row r="9" spans="1:18" x14ac:dyDescent="0.45">
      <c r="B9" s="41"/>
      <c r="C9" s="10" t="s">
        <v>16</v>
      </c>
      <c r="D9" s="12" t="s">
        <v>660</v>
      </c>
      <c r="E9" s="111">
        <v>1.9</v>
      </c>
      <c r="F9" s="160"/>
      <c r="G9" s="111">
        <v>0.3</v>
      </c>
      <c r="H9" s="111">
        <v>0</v>
      </c>
      <c r="I9" s="111">
        <v>0</v>
      </c>
      <c r="J9" s="160"/>
      <c r="K9" s="112">
        <v>0</v>
      </c>
      <c r="L9" s="112">
        <v>0</v>
      </c>
      <c r="M9" s="112">
        <v>0</v>
      </c>
      <c r="N9" s="160"/>
      <c r="O9" s="112">
        <v>0</v>
      </c>
      <c r="P9" s="112">
        <v>0</v>
      </c>
      <c r="Q9" s="12" t="s">
        <v>608</v>
      </c>
      <c r="R9" s="12"/>
    </row>
    <row r="10" spans="1:18" x14ac:dyDescent="0.45">
      <c r="B10" s="41"/>
      <c r="C10" s="10" t="s">
        <v>18</v>
      </c>
      <c r="D10" s="12" t="s">
        <v>661</v>
      </c>
      <c r="E10" s="112">
        <v>0</v>
      </c>
      <c r="F10" s="161"/>
      <c r="G10" s="112">
        <v>0</v>
      </c>
      <c r="H10" s="112">
        <v>0</v>
      </c>
      <c r="I10" s="112">
        <v>0</v>
      </c>
      <c r="J10" s="161"/>
      <c r="K10" s="112">
        <v>0</v>
      </c>
      <c r="L10" s="112">
        <v>0</v>
      </c>
      <c r="M10" s="112">
        <v>0</v>
      </c>
      <c r="N10" s="161"/>
      <c r="O10" s="112">
        <v>0</v>
      </c>
      <c r="P10" s="112">
        <v>0</v>
      </c>
      <c r="Q10" s="12" t="s">
        <v>609</v>
      </c>
      <c r="R10" s="12"/>
    </row>
    <row r="11" spans="1:18" x14ac:dyDescent="0.45">
      <c r="B11" s="41"/>
      <c r="C11" s="10" t="s">
        <v>20</v>
      </c>
      <c r="D11" s="12" t="s">
        <v>662</v>
      </c>
      <c r="E11" s="112">
        <v>0.7</v>
      </c>
      <c r="F11" s="161"/>
      <c r="G11" s="112">
        <v>0</v>
      </c>
      <c r="H11" s="112">
        <v>0</v>
      </c>
      <c r="I11" s="112">
        <v>0</v>
      </c>
      <c r="J11" s="161"/>
      <c r="K11" s="112">
        <v>0</v>
      </c>
      <c r="L11" s="112">
        <v>0</v>
      </c>
      <c r="M11" s="112">
        <v>0</v>
      </c>
      <c r="N11" s="161"/>
      <c r="O11" s="112">
        <v>0</v>
      </c>
      <c r="P11" s="112">
        <v>0</v>
      </c>
      <c r="Q11" s="12" t="s">
        <v>609</v>
      </c>
      <c r="R11" s="12"/>
    </row>
    <row r="12" spans="1:18" x14ac:dyDescent="0.45">
      <c r="B12" s="41"/>
      <c r="C12" s="10" t="s">
        <v>23</v>
      </c>
      <c r="D12" s="12" t="s">
        <v>663</v>
      </c>
      <c r="E12" s="112">
        <v>0</v>
      </c>
      <c r="F12" s="161"/>
      <c r="G12" s="112">
        <v>0</v>
      </c>
      <c r="H12" s="112">
        <v>0</v>
      </c>
      <c r="I12" s="112">
        <v>0</v>
      </c>
      <c r="J12" s="161"/>
      <c r="K12" s="112">
        <v>0</v>
      </c>
      <c r="L12" s="112">
        <v>0</v>
      </c>
      <c r="M12" s="112">
        <v>0</v>
      </c>
      <c r="N12" s="161"/>
      <c r="O12" s="112">
        <v>0</v>
      </c>
      <c r="P12" s="112">
        <v>0</v>
      </c>
      <c r="Q12" s="12" t="s">
        <v>627</v>
      </c>
      <c r="R12" s="12"/>
    </row>
    <row r="13" spans="1:18" x14ac:dyDescent="0.45">
      <c r="B13" s="41"/>
      <c r="C13" s="10" t="s">
        <v>25</v>
      </c>
      <c r="D13" s="12" t="s">
        <v>664</v>
      </c>
      <c r="E13" s="112">
        <v>0</v>
      </c>
      <c r="F13" s="161"/>
      <c r="G13" s="112">
        <v>0</v>
      </c>
      <c r="H13" s="112">
        <v>0</v>
      </c>
      <c r="I13" s="112">
        <v>0</v>
      </c>
      <c r="J13" s="161"/>
      <c r="K13" s="112">
        <v>0</v>
      </c>
      <c r="L13" s="112">
        <v>0</v>
      </c>
      <c r="M13" s="112">
        <v>0</v>
      </c>
      <c r="N13" s="161"/>
      <c r="O13" s="112">
        <v>0</v>
      </c>
      <c r="P13" s="112">
        <v>0</v>
      </c>
      <c r="Q13" s="12" t="s">
        <v>629</v>
      </c>
      <c r="R13" s="12"/>
    </row>
    <row r="14" spans="1:18" x14ac:dyDescent="0.45">
      <c r="B14" s="41"/>
      <c r="C14" s="10" t="s">
        <v>27</v>
      </c>
      <c r="D14" s="12" t="s">
        <v>665</v>
      </c>
      <c r="E14" s="112">
        <v>0</v>
      </c>
      <c r="F14" s="161"/>
      <c r="G14" s="112">
        <v>0</v>
      </c>
      <c r="H14" s="112">
        <v>0</v>
      </c>
      <c r="I14" s="112">
        <v>2</v>
      </c>
      <c r="J14" s="161"/>
      <c r="K14" s="112"/>
      <c r="L14" s="112"/>
      <c r="M14" s="112">
        <v>2</v>
      </c>
      <c r="N14" s="161"/>
      <c r="O14" s="112">
        <v>0</v>
      </c>
      <c r="P14" s="112">
        <v>0</v>
      </c>
      <c r="Q14" s="12" t="s">
        <v>632</v>
      </c>
      <c r="R14" s="12"/>
    </row>
    <row r="15" spans="1:18" x14ac:dyDescent="0.45">
      <c r="B15" s="41"/>
      <c r="C15" s="10" t="s">
        <v>29</v>
      </c>
      <c r="D15" s="12" t="s">
        <v>666</v>
      </c>
      <c r="E15" s="112">
        <v>0</v>
      </c>
      <c r="F15" s="161"/>
      <c r="G15" s="112">
        <v>0</v>
      </c>
      <c r="H15" s="112">
        <v>0</v>
      </c>
      <c r="I15" s="112">
        <v>2</v>
      </c>
      <c r="J15" s="161"/>
      <c r="K15" s="112">
        <v>0</v>
      </c>
      <c r="L15" s="112">
        <v>0</v>
      </c>
      <c r="M15" s="112">
        <v>2</v>
      </c>
      <c r="N15" s="161"/>
      <c r="O15" s="112">
        <v>0</v>
      </c>
      <c r="P15" s="112">
        <v>0</v>
      </c>
      <c r="Q15" s="12" t="s">
        <v>634</v>
      </c>
      <c r="R15" s="12"/>
    </row>
    <row r="16" spans="1:18" ht="28.5" x14ac:dyDescent="0.45">
      <c r="A16" s="8" t="s">
        <v>333</v>
      </c>
      <c r="B16" s="41" t="s">
        <v>667</v>
      </c>
      <c r="C16" s="10" t="s">
        <v>114</v>
      </c>
      <c r="D16" s="12" t="s">
        <v>659</v>
      </c>
      <c r="E16" s="112">
        <v>0.4</v>
      </c>
      <c r="F16" s="161"/>
      <c r="G16" s="112">
        <v>10.8</v>
      </c>
      <c r="H16" s="112">
        <v>29</v>
      </c>
      <c r="I16" s="112">
        <v>0</v>
      </c>
      <c r="J16" s="161"/>
      <c r="K16" s="112">
        <v>6.7</v>
      </c>
      <c r="L16" s="112">
        <v>0</v>
      </c>
      <c r="M16" s="112">
        <v>0</v>
      </c>
      <c r="N16" s="161"/>
      <c r="O16" s="112">
        <v>36.299999999999997</v>
      </c>
      <c r="P16" s="112">
        <v>1.8</v>
      </c>
      <c r="Q16" s="12" t="s">
        <v>608</v>
      </c>
      <c r="R16" s="12"/>
    </row>
    <row r="17" spans="1:18" x14ac:dyDescent="0.45">
      <c r="B17" s="41"/>
      <c r="C17" s="10" t="s">
        <v>116</v>
      </c>
      <c r="D17" s="12" t="s">
        <v>660</v>
      </c>
      <c r="E17" s="112">
        <v>1.6</v>
      </c>
      <c r="F17" s="161"/>
      <c r="G17" s="112">
        <v>21.5</v>
      </c>
      <c r="H17" s="112">
        <v>50.8</v>
      </c>
      <c r="I17" s="112">
        <v>4</v>
      </c>
      <c r="J17" s="161"/>
      <c r="K17" s="112">
        <v>20.6</v>
      </c>
      <c r="L17" s="112">
        <v>62.4</v>
      </c>
      <c r="M17" s="112"/>
      <c r="N17" s="161"/>
      <c r="O17" s="112">
        <v>10.8</v>
      </c>
      <c r="P17" s="112">
        <v>54.2</v>
      </c>
      <c r="Q17" s="12" t="s">
        <v>608</v>
      </c>
      <c r="R17" s="12"/>
    </row>
    <row r="18" spans="1:18" x14ac:dyDescent="0.45">
      <c r="B18" s="41"/>
      <c r="C18" s="10" t="s">
        <v>118</v>
      </c>
      <c r="D18" s="12" t="s">
        <v>661</v>
      </c>
      <c r="E18" s="112">
        <v>0</v>
      </c>
      <c r="F18" s="161"/>
      <c r="G18" s="112">
        <v>0</v>
      </c>
      <c r="H18" s="112">
        <v>0</v>
      </c>
      <c r="I18" s="112">
        <v>4</v>
      </c>
      <c r="J18" s="161"/>
      <c r="K18" s="112">
        <v>0</v>
      </c>
      <c r="L18" s="112">
        <v>0</v>
      </c>
      <c r="M18" s="112">
        <v>0</v>
      </c>
      <c r="N18" s="161"/>
      <c r="O18" s="112">
        <v>0</v>
      </c>
      <c r="P18" s="112">
        <v>0</v>
      </c>
      <c r="Q18" s="12" t="s">
        <v>609</v>
      </c>
      <c r="R18" s="12"/>
    </row>
    <row r="19" spans="1:18" x14ac:dyDescent="0.45">
      <c r="B19" s="41"/>
      <c r="C19" s="10" t="s">
        <v>120</v>
      </c>
      <c r="D19" s="12" t="s">
        <v>662</v>
      </c>
      <c r="E19" s="112">
        <v>0</v>
      </c>
      <c r="F19" s="161"/>
      <c r="G19" s="112">
        <v>0</v>
      </c>
      <c r="H19" s="112">
        <v>0</v>
      </c>
      <c r="I19" s="112">
        <v>0</v>
      </c>
      <c r="J19" s="161"/>
      <c r="K19" s="112">
        <v>0</v>
      </c>
      <c r="L19" s="112">
        <v>0</v>
      </c>
      <c r="M19" s="112">
        <v>0</v>
      </c>
      <c r="N19" s="161"/>
      <c r="O19" s="112">
        <v>0</v>
      </c>
      <c r="P19" s="112">
        <v>0</v>
      </c>
      <c r="Q19" s="12" t="s">
        <v>609</v>
      </c>
      <c r="R19" s="12"/>
    </row>
    <row r="20" spans="1:18" x14ac:dyDescent="0.45">
      <c r="B20" s="41"/>
      <c r="C20" s="10" t="s">
        <v>194</v>
      </c>
      <c r="D20" s="12" t="s">
        <v>663</v>
      </c>
      <c r="E20" s="112">
        <v>0</v>
      </c>
      <c r="F20" s="161"/>
      <c r="G20" s="112">
        <v>0</v>
      </c>
      <c r="H20" s="112">
        <v>0</v>
      </c>
      <c r="I20" s="112">
        <v>0</v>
      </c>
      <c r="J20" s="161"/>
      <c r="K20" s="112">
        <v>0</v>
      </c>
      <c r="L20" s="112">
        <v>0</v>
      </c>
      <c r="M20" s="112">
        <v>0</v>
      </c>
      <c r="N20" s="161"/>
      <c r="O20" s="112">
        <v>0</v>
      </c>
      <c r="P20" s="112">
        <v>0</v>
      </c>
      <c r="Q20" s="12" t="s">
        <v>627</v>
      </c>
      <c r="R20" s="12"/>
    </row>
    <row r="21" spans="1:18" x14ac:dyDescent="0.45">
      <c r="B21" s="41"/>
      <c r="C21" s="10" t="s">
        <v>196</v>
      </c>
      <c r="D21" s="12" t="s">
        <v>664</v>
      </c>
      <c r="E21" s="112">
        <v>0</v>
      </c>
      <c r="F21" s="161"/>
      <c r="G21" s="112">
        <v>0</v>
      </c>
      <c r="H21" s="112">
        <v>0</v>
      </c>
      <c r="I21" s="112">
        <v>0</v>
      </c>
      <c r="J21" s="161"/>
      <c r="K21" s="112">
        <v>0</v>
      </c>
      <c r="L21" s="112">
        <v>0</v>
      </c>
      <c r="M21" s="112">
        <v>0</v>
      </c>
      <c r="N21" s="161"/>
      <c r="O21" s="112">
        <v>0</v>
      </c>
      <c r="P21" s="112">
        <v>0</v>
      </c>
      <c r="Q21" s="12" t="s">
        <v>629</v>
      </c>
      <c r="R21" s="12"/>
    </row>
    <row r="22" spans="1:18" x14ac:dyDescent="0.45">
      <c r="B22" s="41"/>
      <c r="C22" s="10" t="s">
        <v>198</v>
      </c>
      <c r="D22" s="12" t="s">
        <v>665</v>
      </c>
      <c r="E22" s="112">
        <v>0</v>
      </c>
      <c r="F22" s="161"/>
      <c r="G22" s="112">
        <v>15</v>
      </c>
      <c r="H22" s="112">
        <v>13</v>
      </c>
      <c r="I22" s="112">
        <v>1</v>
      </c>
      <c r="J22" s="161"/>
      <c r="K22" s="112">
        <v>15</v>
      </c>
      <c r="L22" s="112">
        <v>0</v>
      </c>
      <c r="M22" s="112">
        <v>1</v>
      </c>
      <c r="N22" s="161"/>
      <c r="O22" s="112">
        <v>15</v>
      </c>
      <c r="P22" s="112">
        <v>0</v>
      </c>
      <c r="Q22" s="12" t="s">
        <v>632</v>
      </c>
      <c r="R22" s="12"/>
    </row>
    <row r="23" spans="1:18" x14ac:dyDescent="0.45">
      <c r="B23" s="41"/>
      <c r="C23" s="10" t="s">
        <v>200</v>
      </c>
      <c r="D23" s="12" t="s">
        <v>666</v>
      </c>
      <c r="E23" s="112">
        <v>0</v>
      </c>
      <c r="F23" s="161"/>
      <c r="G23" s="112"/>
      <c r="H23" s="112"/>
      <c r="I23" s="112">
        <v>1</v>
      </c>
      <c r="J23" s="161"/>
      <c r="K23" s="112">
        <v>0</v>
      </c>
      <c r="L23" s="112">
        <v>0</v>
      </c>
      <c r="M23" s="112">
        <v>1</v>
      </c>
      <c r="N23" s="161"/>
      <c r="O23" s="112">
        <v>0</v>
      </c>
      <c r="P23" s="112">
        <v>0</v>
      </c>
      <c r="Q23" s="12" t="s">
        <v>634</v>
      </c>
      <c r="R23" s="12"/>
    </row>
    <row r="24" spans="1:18" ht="28.5" x14ac:dyDescent="0.45">
      <c r="A24" s="8" t="s">
        <v>333</v>
      </c>
      <c r="B24" s="41" t="s">
        <v>668</v>
      </c>
      <c r="C24" s="10" t="s">
        <v>93</v>
      </c>
      <c r="D24" s="12" t="s">
        <v>659</v>
      </c>
      <c r="E24" s="112">
        <v>0</v>
      </c>
      <c r="F24" s="161"/>
      <c r="G24" s="112">
        <v>0</v>
      </c>
      <c r="H24" s="112">
        <v>0</v>
      </c>
      <c r="I24" s="112">
        <v>0</v>
      </c>
      <c r="J24" s="161"/>
      <c r="K24" s="112">
        <v>0</v>
      </c>
      <c r="L24" s="112">
        <v>0</v>
      </c>
      <c r="M24" s="112">
        <v>0</v>
      </c>
      <c r="N24" s="161"/>
      <c r="O24" s="112">
        <v>0</v>
      </c>
      <c r="P24" s="112">
        <v>0</v>
      </c>
      <c r="Q24" s="12" t="s">
        <v>608</v>
      </c>
      <c r="R24" s="12"/>
    </row>
    <row r="25" spans="1:18" x14ac:dyDescent="0.45">
      <c r="B25" s="41"/>
      <c r="C25" s="10" t="s">
        <v>97</v>
      </c>
      <c r="D25" s="12" t="s">
        <v>660</v>
      </c>
      <c r="E25" s="112">
        <v>0</v>
      </c>
      <c r="F25" s="161"/>
      <c r="G25" s="112">
        <v>22.8</v>
      </c>
      <c r="H25" s="112">
        <v>21.3</v>
      </c>
      <c r="I25" s="112">
        <v>0</v>
      </c>
      <c r="J25" s="161"/>
      <c r="K25" s="112">
        <v>20</v>
      </c>
      <c r="L25" s="112">
        <v>19.899999999999999</v>
      </c>
      <c r="M25" s="112">
        <v>0</v>
      </c>
      <c r="N25" s="161"/>
      <c r="O25" s="112">
        <v>0</v>
      </c>
      <c r="P25" s="112">
        <v>0</v>
      </c>
      <c r="Q25" s="12" t="s">
        <v>608</v>
      </c>
      <c r="R25" s="12"/>
    </row>
    <row r="26" spans="1:18" x14ac:dyDescent="0.45">
      <c r="B26" s="41"/>
      <c r="C26" s="10" t="s">
        <v>100</v>
      </c>
      <c r="D26" s="12" t="s">
        <v>661</v>
      </c>
      <c r="E26" s="112">
        <v>0</v>
      </c>
      <c r="F26" s="161"/>
      <c r="G26" s="112">
        <v>0</v>
      </c>
      <c r="H26" s="112">
        <v>0</v>
      </c>
      <c r="I26" s="112">
        <v>0</v>
      </c>
      <c r="J26" s="161"/>
      <c r="K26" s="112">
        <v>0</v>
      </c>
      <c r="L26" s="112">
        <v>0</v>
      </c>
      <c r="M26" s="112">
        <v>0</v>
      </c>
      <c r="N26" s="161"/>
      <c r="O26" s="112">
        <v>0</v>
      </c>
      <c r="P26" s="112">
        <v>0</v>
      </c>
      <c r="Q26" s="12" t="s">
        <v>609</v>
      </c>
      <c r="R26" s="12"/>
    </row>
    <row r="27" spans="1:18" x14ac:dyDescent="0.45">
      <c r="B27" s="41"/>
      <c r="C27" s="10" t="s">
        <v>208</v>
      </c>
      <c r="D27" s="12" t="s">
        <v>662</v>
      </c>
      <c r="E27" s="112">
        <v>0</v>
      </c>
      <c r="F27" s="161"/>
      <c r="G27" s="112">
        <v>0</v>
      </c>
      <c r="H27" s="112">
        <v>0</v>
      </c>
      <c r="I27" s="112">
        <v>0</v>
      </c>
      <c r="J27" s="161"/>
      <c r="K27" s="112">
        <v>0</v>
      </c>
      <c r="L27" s="112">
        <v>0</v>
      </c>
      <c r="M27" s="112">
        <v>0</v>
      </c>
      <c r="N27" s="161"/>
      <c r="O27" s="112">
        <v>0</v>
      </c>
      <c r="P27" s="112">
        <v>0</v>
      </c>
      <c r="Q27" s="12" t="s">
        <v>609</v>
      </c>
      <c r="R27" s="12"/>
    </row>
    <row r="28" spans="1:18" x14ac:dyDescent="0.45">
      <c r="B28" s="41"/>
      <c r="C28" s="10" t="s">
        <v>210</v>
      </c>
      <c r="D28" s="12" t="s">
        <v>663</v>
      </c>
      <c r="E28" s="112">
        <v>0</v>
      </c>
      <c r="F28" s="161"/>
      <c r="G28" s="112">
        <v>0</v>
      </c>
      <c r="H28" s="112">
        <v>0</v>
      </c>
      <c r="I28" s="112">
        <v>0</v>
      </c>
      <c r="J28" s="161"/>
      <c r="K28" s="112">
        <v>0</v>
      </c>
      <c r="L28" s="112">
        <v>0</v>
      </c>
      <c r="M28" s="112">
        <v>0</v>
      </c>
      <c r="N28" s="161"/>
      <c r="O28" s="112">
        <v>0</v>
      </c>
      <c r="P28" s="112">
        <v>0</v>
      </c>
      <c r="Q28" s="12" t="s">
        <v>627</v>
      </c>
      <c r="R28" s="12"/>
    </row>
    <row r="29" spans="1:18" x14ac:dyDescent="0.45">
      <c r="B29" s="41"/>
      <c r="C29" s="10" t="s">
        <v>212</v>
      </c>
      <c r="D29" s="12" t="s">
        <v>664</v>
      </c>
      <c r="E29" s="112">
        <v>0</v>
      </c>
      <c r="F29" s="161"/>
      <c r="G29" s="112">
        <v>0</v>
      </c>
      <c r="H29" s="112">
        <v>0</v>
      </c>
      <c r="I29" s="112">
        <v>0</v>
      </c>
      <c r="J29" s="161"/>
      <c r="K29" s="112">
        <v>0</v>
      </c>
      <c r="L29" s="112">
        <v>0</v>
      </c>
      <c r="M29" s="112">
        <v>0</v>
      </c>
      <c r="N29" s="161"/>
      <c r="O29" s="112">
        <v>0</v>
      </c>
      <c r="P29" s="112">
        <v>0</v>
      </c>
      <c r="Q29" s="12" t="s">
        <v>629</v>
      </c>
      <c r="R29" s="12"/>
    </row>
    <row r="30" spans="1:18" x14ac:dyDescent="0.45">
      <c r="B30" s="41"/>
      <c r="C30" s="10" t="s">
        <v>214</v>
      </c>
      <c r="D30" s="12" t="s">
        <v>665</v>
      </c>
      <c r="E30" s="112">
        <v>0</v>
      </c>
      <c r="F30" s="161"/>
      <c r="G30" s="112">
        <v>0</v>
      </c>
      <c r="H30" s="112">
        <v>2</v>
      </c>
      <c r="I30" s="112">
        <v>0</v>
      </c>
      <c r="J30" s="161"/>
      <c r="K30" s="112">
        <v>0</v>
      </c>
      <c r="L30" s="112">
        <v>2</v>
      </c>
      <c r="M30" s="112">
        <v>0</v>
      </c>
      <c r="N30" s="161"/>
      <c r="O30" s="112">
        <v>0</v>
      </c>
      <c r="P30" s="112">
        <v>2</v>
      </c>
      <c r="Q30" s="12" t="s">
        <v>632</v>
      </c>
      <c r="R30" s="12"/>
    </row>
    <row r="31" spans="1:18" x14ac:dyDescent="0.45">
      <c r="B31" s="41"/>
      <c r="C31" s="10" t="s">
        <v>216</v>
      </c>
      <c r="D31" s="12" t="s">
        <v>666</v>
      </c>
      <c r="E31" s="138">
        <v>0</v>
      </c>
      <c r="F31" s="157"/>
      <c r="G31" s="138">
        <v>0</v>
      </c>
      <c r="H31" s="138">
        <v>0</v>
      </c>
      <c r="I31" s="138">
        <v>0</v>
      </c>
      <c r="J31" s="157"/>
      <c r="K31" s="138">
        <v>0</v>
      </c>
      <c r="L31" s="138">
        <v>0</v>
      </c>
      <c r="M31" s="138">
        <v>0</v>
      </c>
      <c r="N31" s="157"/>
      <c r="O31" s="138">
        <v>0</v>
      </c>
      <c r="P31" s="138">
        <v>0</v>
      </c>
      <c r="Q31" s="12" t="s">
        <v>634</v>
      </c>
      <c r="R31" s="12"/>
    </row>
  </sheetData>
  <dataValidations disablePrompts="1" count="1">
    <dataValidation type="custom" operator="greaterThanOrEqual" allowBlank="1" showInputMessage="1" showErrorMessage="1" error="This cell only accepts a number of &quot;NA&quot;_x000a_" sqref="E8:P31" xr:uid="{C569B604-3330-4DD1-B4BC-D6010A4D16C3}">
      <formula1>OR(AND(ISNUMBER(E8), E8&gt;=0), E8 ="NA")</formula1>
    </dataValidation>
  </dataValidations>
  <pageMargins left="0.7" right="0.7" top="0.75" bottom="0.75" header="0.3" footer="0.3"/>
  <pageSetup paperSize="5" scale="44" fitToHeight="0" orientation="landscape" r:id="rId1"/>
  <headerFooter>
    <oddFooter>&amp;LSDGE 2021 WMP - &amp;A&amp;C&amp;P&amp;R&amp;D</oddFooter>
  </headerFooter>
  <customProperties>
    <customPr name="_pios_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2729-F939-4B69-BED0-C8E82D0B9B59}">
  <sheetPr codeName="Sheet13">
    <pageSetUpPr fitToPage="1"/>
  </sheetPr>
  <dimension ref="B1:X32"/>
  <sheetViews>
    <sheetView view="pageLayout" topLeftCell="A4" zoomScale="75" zoomScaleNormal="100" zoomScaleSheetLayoutView="55" zoomScalePageLayoutView="75" workbookViewId="0">
      <selection activeCell="D27" sqref="D27"/>
    </sheetView>
  </sheetViews>
  <sheetFormatPr defaultColWidth="9.265625" defaultRowHeight="14.25" outlineLevelCol="1" x14ac:dyDescent="0.45"/>
  <cols>
    <col min="1" max="1" width="5.59765625" style="17" customWidth="1"/>
    <col min="2" max="2" width="37.265625" style="48" customWidth="1"/>
    <col min="3" max="3" width="9.265625" style="17" customWidth="1"/>
    <col min="4" max="4" width="66" style="17" customWidth="1"/>
    <col min="5" max="9" width="12.1328125" style="17" customWidth="1"/>
    <col min="10" max="13" width="12.1328125" style="17" hidden="1" customWidth="1"/>
    <col min="14" max="18" width="12.1328125" style="17" customWidth="1"/>
    <col min="19" max="22" width="10.59765625" style="17" customWidth="1" outlineLevel="1"/>
    <col min="23" max="23" width="97.73046875" style="48" customWidth="1"/>
    <col min="24" max="24" width="69.265625" style="48" customWidth="1"/>
    <col min="25" max="56" width="9.265625" style="17"/>
    <col min="57" max="57" width="9.265625" style="17" customWidth="1"/>
    <col min="58" max="16384" width="9.265625" style="17"/>
  </cols>
  <sheetData>
    <row r="1" spans="2:24" ht="14.65" thickBot="1" x14ac:dyDescent="0.5"/>
    <row r="2" spans="2:24" x14ac:dyDescent="0.45">
      <c r="B2" s="14" t="s">
        <v>0</v>
      </c>
      <c r="C2" s="64" t="str">
        <f>IF('[1]Quarterly Submission Guide'!$D$20 = "", "",'[1]Quarterly Submission Guide'!$D$20)</f>
        <v>X</v>
      </c>
      <c r="D2" s="17" t="s">
        <v>1</v>
      </c>
    </row>
    <row r="3" spans="2:24" x14ac:dyDescent="0.45">
      <c r="B3" s="15" t="s">
        <v>2</v>
      </c>
      <c r="C3" s="51">
        <v>11</v>
      </c>
      <c r="D3" s="69" t="s">
        <v>669</v>
      </c>
    </row>
    <row r="4" spans="2:24" x14ac:dyDescent="0.45">
      <c r="B4" s="16" t="s">
        <v>4</v>
      </c>
      <c r="C4" s="66">
        <v>44232</v>
      </c>
      <c r="D4" s="48" t="s">
        <v>655</v>
      </c>
      <c r="G4" s="150"/>
    </row>
    <row r="5" spans="2:24" x14ac:dyDescent="0.45">
      <c r="E5" s="148" t="s">
        <v>649</v>
      </c>
      <c r="F5" s="148"/>
      <c r="G5" s="148"/>
      <c r="H5" s="148"/>
      <c r="I5" s="148"/>
      <c r="J5" s="148"/>
      <c r="K5" s="148"/>
      <c r="L5" s="148"/>
      <c r="M5" s="148"/>
      <c r="N5" s="148"/>
      <c r="O5" s="149" t="s">
        <v>650</v>
      </c>
      <c r="P5" s="149"/>
      <c r="Q5" s="149"/>
      <c r="R5" s="149"/>
    </row>
    <row r="6" spans="2:24" ht="18" customHeight="1" x14ac:dyDescent="0.45">
      <c r="B6" s="68" t="s">
        <v>670</v>
      </c>
      <c r="C6" s="69"/>
      <c r="D6" s="69"/>
      <c r="E6" s="69"/>
      <c r="F6" s="69"/>
      <c r="G6" s="69"/>
      <c r="H6" s="69"/>
      <c r="I6" s="69"/>
      <c r="J6" s="70">
        <v>1</v>
      </c>
      <c r="K6" s="70">
        <v>2</v>
      </c>
      <c r="L6" s="70">
        <v>3</v>
      </c>
      <c r="M6" s="70">
        <v>4</v>
      </c>
      <c r="N6" s="70" t="s">
        <v>1107</v>
      </c>
      <c r="O6" s="70">
        <v>1</v>
      </c>
      <c r="P6" s="70">
        <v>2</v>
      </c>
      <c r="Q6" s="70">
        <v>3</v>
      </c>
      <c r="R6" s="70">
        <v>4</v>
      </c>
      <c r="S6" s="70">
        <v>1</v>
      </c>
      <c r="T6" s="70">
        <v>2</v>
      </c>
      <c r="U6" s="70">
        <v>3</v>
      </c>
      <c r="V6" s="70">
        <v>4</v>
      </c>
      <c r="W6" s="71"/>
      <c r="X6" s="203"/>
    </row>
    <row r="7" spans="2:24" x14ac:dyDescent="0.45">
      <c r="B7" s="5" t="s">
        <v>7</v>
      </c>
      <c r="C7" s="6" t="s">
        <v>8</v>
      </c>
      <c r="D7" s="6" t="s">
        <v>104</v>
      </c>
      <c r="E7" s="6">
        <v>2015</v>
      </c>
      <c r="F7" s="6">
        <v>2016</v>
      </c>
      <c r="G7" s="6">
        <v>2017</v>
      </c>
      <c r="H7" s="6">
        <v>2018</v>
      </c>
      <c r="I7" s="6">
        <v>2019</v>
      </c>
      <c r="J7" s="6">
        <v>2020</v>
      </c>
      <c r="K7" s="6">
        <v>2020</v>
      </c>
      <c r="L7" s="6">
        <v>2020</v>
      </c>
      <c r="M7" s="6">
        <v>2020</v>
      </c>
      <c r="N7" s="6">
        <v>2020</v>
      </c>
      <c r="O7" s="6">
        <v>2021</v>
      </c>
      <c r="P7" s="6">
        <v>2021</v>
      </c>
      <c r="Q7" s="6">
        <v>2021</v>
      </c>
      <c r="R7" s="6">
        <v>2021</v>
      </c>
      <c r="S7" s="6">
        <v>2022</v>
      </c>
      <c r="T7" s="6">
        <v>2022</v>
      </c>
      <c r="U7" s="6">
        <v>2022</v>
      </c>
      <c r="V7" s="6">
        <v>2022</v>
      </c>
      <c r="W7" s="5" t="s">
        <v>10</v>
      </c>
      <c r="X7" s="5" t="s">
        <v>11</v>
      </c>
    </row>
    <row r="8" spans="2:24" ht="33" customHeight="1" x14ac:dyDescent="0.45">
      <c r="B8" s="142" t="s">
        <v>671</v>
      </c>
      <c r="C8" s="73" t="s">
        <v>13</v>
      </c>
      <c r="D8" s="76" t="s">
        <v>672</v>
      </c>
      <c r="E8" s="219">
        <v>0</v>
      </c>
      <c r="F8" s="219">
        <v>0</v>
      </c>
      <c r="G8" s="219">
        <v>5</v>
      </c>
      <c r="H8" s="219">
        <v>4</v>
      </c>
      <c r="I8" s="219">
        <v>4</v>
      </c>
      <c r="J8" s="220">
        <v>0</v>
      </c>
      <c r="K8" s="220">
        <v>0</v>
      </c>
      <c r="L8" s="220">
        <v>1</v>
      </c>
      <c r="M8" s="220">
        <v>4</v>
      </c>
      <c r="N8" s="220">
        <f>SUM(J8:M8)</f>
        <v>5</v>
      </c>
      <c r="O8" s="220">
        <v>0</v>
      </c>
      <c r="P8" s="220">
        <v>0</v>
      </c>
      <c r="Q8" s="221">
        <v>0.5</v>
      </c>
      <c r="R8" s="221">
        <v>3.75</v>
      </c>
      <c r="S8" s="187"/>
      <c r="T8" s="187"/>
      <c r="U8" s="187"/>
      <c r="V8" s="187"/>
      <c r="W8" s="76" t="s">
        <v>673</v>
      </c>
      <c r="X8" s="76"/>
    </row>
    <row r="9" spans="2:24" ht="30" customHeight="1" x14ac:dyDescent="0.45">
      <c r="B9" s="143"/>
      <c r="C9" s="75" t="s">
        <v>16</v>
      </c>
      <c r="D9" s="76" t="s">
        <v>674</v>
      </c>
      <c r="E9" s="222">
        <v>0</v>
      </c>
      <c r="F9" s="222">
        <v>0</v>
      </c>
      <c r="G9" s="222">
        <f>40*5</f>
        <v>200</v>
      </c>
      <c r="H9" s="222">
        <f>53*5</f>
        <v>265</v>
      </c>
      <c r="I9" s="222">
        <f>81*4</f>
        <v>324</v>
      </c>
      <c r="J9" s="223">
        <v>0</v>
      </c>
      <c r="K9" s="223">
        <v>0</v>
      </c>
      <c r="L9" s="223">
        <v>2</v>
      </c>
      <c r="M9" s="211">
        <f>127*4</f>
        <v>508</v>
      </c>
      <c r="N9" s="211">
        <f t="shared" ref="N9:N29" si="0">SUM(J9:M9)</f>
        <v>510</v>
      </c>
      <c r="O9" s="223">
        <v>0</v>
      </c>
      <c r="P9" s="223">
        <v>0</v>
      </c>
      <c r="Q9" s="224">
        <v>0.5</v>
      </c>
      <c r="R9" s="224">
        <v>322.5</v>
      </c>
      <c r="S9" s="188"/>
      <c r="T9" s="188"/>
      <c r="U9" s="188"/>
      <c r="V9" s="188"/>
      <c r="W9" s="76" t="s">
        <v>675</v>
      </c>
      <c r="X9" s="76"/>
    </row>
    <row r="10" spans="2:24" ht="21" customHeight="1" x14ac:dyDescent="0.45">
      <c r="B10" s="143"/>
      <c r="C10" s="75" t="s">
        <v>18</v>
      </c>
      <c r="D10" s="76" t="s">
        <v>676</v>
      </c>
      <c r="E10" s="225">
        <v>0</v>
      </c>
      <c r="F10" s="225">
        <v>0</v>
      </c>
      <c r="G10" s="212">
        <v>279</v>
      </c>
      <c r="H10" s="212">
        <v>201</v>
      </c>
      <c r="I10" s="213">
        <v>174</v>
      </c>
      <c r="J10" s="226">
        <v>0</v>
      </c>
      <c r="K10" s="226">
        <v>0</v>
      </c>
      <c r="L10" s="227">
        <v>13</v>
      </c>
      <c r="M10" s="214">
        <v>184</v>
      </c>
      <c r="N10" s="214">
        <f t="shared" si="0"/>
        <v>197</v>
      </c>
      <c r="O10" s="223">
        <v>0</v>
      </c>
      <c r="P10" s="223">
        <v>0</v>
      </c>
      <c r="Q10" s="224">
        <v>14.5</v>
      </c>
      <c r="R10" s="224">
        <v>168.5</v>
      </c>
      <c r="S10" s="188"/>
      <c r="T10" s="188"/>
      <c r="U10" s="188"/>
      <c r="V10" s="188"/>
      <c r="W10" s="76" t="s">
        <v>677</v>
      </c>
      <c r="X10" s="76" t="s">
        <v>678</v>
      </c>
    </row>
    <row r="11" spans="2:24" x14ac:dyDescent="0.45">
      <c r="B11" s="143" t="s">
        <v>679</v>
      </c>
      <c r="C11" s="75" t="s">
        <v>114</v>
      </c>
      <c r="D11" s="76" t="s">
        <v>680</v>
      </c>
      <c r="E11" s="228">
        <v>106210.3833</v>
      </c>
      <c r="F11" s="228">
        <v>883385.18330000003</v>
      </c>
      <c r="G11" s="228">
        <v>1826807.017</v>
      </c>
      <c r="H11" s="228">
        <v>2192064.0669999998</v>
      </c>
      <c r="I11" s="228">
        <v>2433616.5003333334</v>
      </c>
      <c r="J11" s="228">
        <v>324613.45</v>
      </c>
      <c r="K11" s="228">
        <v>107052.98330000001</v>
      </c>
      <c r="L11" s="228">
        <v>490460.60003333335</v>
      </c>
      <c r="M11" s="228">
        <v>2884883.5499666664</v>
      </c>
      <c r="N11" s="228">
        <f t="shared" si="0"/>
        <v>3807010.5833000001</v>
      </c>
      <c r="O11" s="228">
        <v>310013.4375</v>
      </c>
      <c r="P11" s="228">
        <v>308413.04583333334</v>
      </c>
      <c r="Q11" s="228">
        <v>312574.50416666665</v>
      </c>
      <c r="R11" s="228">
        <v>1618889.0416666665</v>
      </c>
      <c r="S11" s="188"/>
      <c r="T11" s="188"/>
      <c r="U11" s="188"/>
      <c r="V11" s="188"/>
      <c r="W11" s="76" t="s">
        <v>681</v>
      </c>
      <c r="X11" s="76" t="s">
        <v>682</v>
      </c>
    </row>
    <row r="12" spans="2:24" x14ac:dyDescent="0.45">
      <c r="B12" s="143"/>
      <c r="C12" s="75" t="s">
        <v>116</v>
      </c>
      <c r="D12" s="76" t="s">
        <v>683</v>
      </c>
      <c r="E12" s="229">
        <v>1504041.6333333333</v>
      </c>
      <c r="F12" s="229">
        <v>2058236.8833333333</v>
      </c>
      <c r="G12" s="229">
        <v>2090995.25</v>
      </c>
      <c r="H12" s="229">
        <v>1887418.2666666666</v>
      </c>
      <c r="I12" s="229">
        <v>1705635.8166666667</v>
      </c>
      <c r="J12" s="230">
        <v>346752.71666666667</v>
      </c>
      <c r="K12" s="230">
        <v>401987.06666666665</v>
      </c>
      <c r="L12" s="230">
        <v>1096905.6499999999</v>
      </c>
      <c r="M12" s="230">
        <v>507255.33333333331</v>
      </c>
      <c r="N12" s="230">
        <f t="shared" si="0"/>
        <v>2352900.7666666666</v>
      </c>
      <c r="O12" s="228">
        <v>496735.4138888889</v>
      </c>
      <c r="P12" s="228">
        <v>314086.5472222222</v>
      </c>
      <c r="Q12" s="228">
        <v>600864.9138888889</v>
      </c>
      <c r="R12" s="228">
        <v>521517.93333333329</v>
      </c>
      <c r="S12" s="188"/>
      <c r="T12" s="188"/>
      <c r="U12" s="188"/>
      <c r="V12" s="188"/>
      <c r="W12" s="76" t="s">
        <v>684</v>
      </c>
      <c r="X12" s="76"/>
    </row>
    <row r="13" spans="2:24" ht="32.25" customHeight="1" x14ac:dyDescent="0.45">
      <c r="B13" s="143"/>
      <c r="C13" s="75" t="s">
        <v>118</v>
      </c>
      <c r="D13" s="76" t="s">
        <v>685</v>
      </c>
      <c r="E13" s="231">
        <v>63.26</v>
      </c>
      <c r="F13" s="231">
        <v>86.01</v>
      </c>
      <c r="G13" s="231">
        <v>117.49</v>
      </c>
      <c r="H13" s="231">
        <v>121.02</v>
      </c>
      <c r="I13" s="231">
        <v>122.96</v>
      </c>
      <c r="J13" s="224">
        <v>13.950229484673637</v>
      </c>
      <c r="K13" s="224">
        <v>16.17236595513565</v>
      </c>
      <c r="L13" s="224">
        <v>44.144087542787432</v>
      </c>
      <c r="M13" s="224">
        <v>111.44947749910318</v>
      </c>
      <c r="N13" s="224">
        <f t="shared" si="0"/>
        <v>185.71616048169989</v>
      </c>
      <c r="O13" s="224">
        <v>21.754069315317956</v>
      </c>
      <c r="P13" s="224">
        <v>12.925179076666666</v>
      </c>
      <c r="Q13" s="224">
        <v>24.691085479687299</v>
      </c>
      <c r="R13" s="224">
        <v>76.636846666841009</v>
      </c>
      <c r="S13" s="188"/>
      <c r="T13" s="188"/>
      <c r="U13" s="188"/>
      <c r="V13" s="188"/>
      <c r="W13" s="76" t="s">
        <v>686</v>
      </c>
      <c r="X13" s="76"/>
    </row>
    <row r="14" spans="2:24" ht="47.25" customHeight="1" x14ac:dyDescent="0.45">
      <c r="B14" s="143"/>
      <c r="C14" s="75" t="s">
        <v>120</v>
      </c>
      <c r="D14" s="76" t="s">
        <v>687</v>
      </c>
      <c r="E14" s="231">
        <v>63.26</v>
      </c>
      <c r="F14" s="231">
        <v>86.01</v>
      </c>
      <c r="G14" s="231">
        <v>86.64</v>
      </c>
      <c r="H14" s="231">
        <v>77.45</v>
      </c>
      <c r="I14" s="231">
        <v>69.209999999999994</v>
      </c>
      <c r="J14" s="224">
        <v>13.950229484673637</v>
      </c>
      <c r="K14" s="224">
        <v>16.17236595513565</v>
      </c>
      <c r="L14" s="224">
        <v>44.129677447473341</v>
      </c>
      <c r="M14" s="224">
        <v>20.407419948571288</v>
      </c>
      <c r="N14" s="224">
        <f t="shared" si="0"/>
        <v>94.659692835853917</v>
      </c>
      <c r="O14" s="224">
        <v>20.487791546666667</v>
      </c>
      <c r="P14" s="224">
        <v>12.925179076666666</v>
      </c>
      <c r="Q14" s="224">
        <v>24.686930281666665</v>
      </c>
      <c r="R14" s="224">
        <v>21.43816004333333</v>
      </c>
      <c r="S14" s="188"/>
      <c r="T14" s="188"/>
      <c r="U14" s="188"/>
      <c r="V14" s="188"/>
      <c r="W14" s="76" t="s">
        <v>686</v>
      </c>
      <c r="X14" s="76"/>
    </row>
    <row r="15" spans="2:24" ht="34.5" customHeight="1" x14ac:dyDescent="0.45">
      <c r="B15" s="143"/>
      <c r="C15" s="75" t="s">
        <v>194</v>
      </c>
      <c r="D15" s="76" t="s">
        <v>688</v>
      </c>
      <c r="E15" s="231">
        <v>0.62</v>
      </c>
      <c r="F15" s="231">
        <v>0.68</v>
      </c>
      <c r="G15" s="231">
        <v>0.57999999999999996</v>
      </c>
      <c r="H15" s="231">
        <v>0.66</v>
      </c>
      <c r="I15" s="231">
        <v>0.64</v>
      </c>
      <c r="J15" s="224">
        <v>0.13026482095501843</v>
      </c>
      <c r="K15" s="224">
        <v>0.17309816043476398</v>
      </c>
      <c r="L15" s="224">
        <v>0.25798033371664608</v>
      </c>
      <c r="M15" s="224">
        <v>0.20430740553244156</v>
      </c>
      <c r="N15" s="224">
        <f t="shared" si="0"/>
        <v>0.76565072063886996</v>
      </c>
      <c r="O15" s="224">
        <v>0.16222760650000001</v>
      </c>
      <c r="P15" s="224">
        <v>0.12680914083333333</v>
      </c>
      <c r="Q15" s="224">
        <v>0.19419070995950244</v>
      </c>
      <c r="R15" s="224">
        <v>0.17860000000000001</v>
      </c>
      <c r="S15" s="188"/>
      <c r="T15" s="188"/>
      <c r="U15" s="188"/>
      <c r="V15" s="188"/>
      <c r="W15" s="76" t="s">
        <v>689</v>
      </c>
      <c r="X15" s="76"/>
    </row>
    <row r="16" spans="2:24" ht="32.25" customHeight="1" x14ac:dyDescent="0.45">
      <c r="B16" s="143"/>
      <c r="C16" s="75" t="s">
        <v>196</v>
      </c>
      <c r="D16" s="76" t="s">
        <v>690</v>
      </c>
      <c r="E16" s="231">
        <v>0.62</v>
      </c>
      <c r="F16" s="231">
        <v>0.68</v>
      </c>
      <c r="G16" s="231">
        <v>0.56999999999999995</v>
      </c>
      <c r="H16" s="231">
        <v>0.64</v>
      </c>
      <c r="I16" s="231">
        <v>0.61</v>
      </c>
      <c r="J16" s="224">
        <v>0.13026482095501843</v>
      </c>
      <c r="K16" s="224">
        <v>0.17309816043476398</v>
      </c>
      <c r="L16" s="224">
        <v>0.25794747835066073</v>
      </c>
      <c r="M16" s="224">
        <v>0.14382872296556576</v>
      </c>
      <c r="N16" s="224">
        <f t="shared" si="0"/>
        <v>0.70513918270600895</v>
      </c>
      <c r="O16" s="224">
        <v>0.16222760650000001</v>
      </c>
      <c r="P16" s="224">
        <v>0.12680914083333333</v>
      </c>
      <c r="Q16" s="224">
        <v>0.19417327650000002</v>
      </c>
      <c r="R16" s="224">
        <v>0.15237101716666668</v>
      </c>
      <c r="S16" s="188"/>
      <c r="T16" s="188"/>
      <c r="U16" s="188"/>
      <c r="V16" s="188"/>
      <c r="W16" s="76" t="s">
        <v>689</v>
      </c>
      <c r="X16" s="76"/>
    </row>
    <row r="17" spans="2:24" ht="28.5" customHeight="1" x14ac:dyDescent="0.45">
      <c r="B17" s="143" t="s">
        <v>691</v>
      </c>
      <c r="C17" s="75" t="s">
        <v>93</v>
      </c>
      <c r="D17" s="76" t="s">
        <v>692</v>
      </c>
      <c r="E17" s="222">
        <v>0</v>
      </c>
      <c r="F17" s="222">
        <v>0</v>
      </c>
      <c r="G17" s="222">
        <v>633</v>
      </c>
      <c r="H17" s="222">
        <v>832</v>
      </c>
      <c r="I17" s="222">
        <v>968</v>
      </c>
      <c r="J17" s="223">
        <v>0</v>
      </c>
      <c r="K17" s="223">
        <v>0</v>
      </c>
      <c r="L17" s="223">
        <v>0</v>
      </c>
      <c r="M17" s="223">
        <v>2340</v>
      </c>
      <c r="N17" s="223">
        <f t="shared" si="0"/>
        <v>2340</v>
      </c>
      <c r="O17" s="223">
        <v>0</v>
      </c>
      <c r="P17" s="223">
        <v>0</v>
      </c>
      <c r="Q17" s="223">
        <v>0</v>
      </c>
      <c r="R17" s="227">
        <f>AVERAGE(G17,H17,I17,M17)</f>
        <v>1193.25</v>
      </c>
      <c r="S17" s="188"/>
      <c r="T17" s="188"/>
      <c r="U17" s="188"/>
      <c r="V17" s="188"/>
      <c r="W17" s="76" t="s">
        <v>693</v>
      </c>
      <c r="X17" s="76"/>
    </row>
    <row r="18" spans="2:24" ht="27.75" customHeight="1" x14ac:dyDescent="0.45">
      <c r="B18" s="143" t="s">
        <v>694</v>
      </c>
      <c r="C18" s="75" t="s">
        <v>135</v>
      </c>
      <c r="D18" s="184" t="s">
        <v>695</v>
      </c>
      <c r="E18" s="222">
        <v>0</v>
      </c>
      <c r="F18" s="222">
        <v>0</v>
      </c>
      <c r="G18" s="215">
        <v>17619</v>
      </c>
      <c r="H18" s="215">
        <v>30069</v>
      </c>
      <c r="I18" s="213">
        <v>49880</v>
      </c>
      <c r="J18" s="223">
        <v>0</v>
      </c>
      <c r="K18" s="223">
        <v>0</v>
      </c>
      <c r="L18" s="223">
        <v>49</v>
      </c>
      <c r="M18" s="214">
        <f>96743+2992</f>
        <v>99735</v>
      </c>
      <c r="N18" s="214">
        <f t="shared" si="0"/>
        <v>99784</v>
      </c>
      <c r="O18" s="223">
        <v>0</v>
      </c>
      <c r="P18" s="223">
        <v>0</v>
      </c>
      <c r="Q18" s="223">
        <v>26</v>
      </c>
      <c r="R18" s="227">
        <v>40205</v>
      </c>
      <c r="S18" s="188"/>
      <c r="T18" s="188"/>
      <c r="U18" s="188"/>
      <c r="V18" s="188"/>
      <c r="W18" s="76" t="s">
        <v>696</v>
      </c>
      <c r="X18" s="76"/>
    </row>
    <row r="19" spans="2:24" ht="28.5" x14ac:dyDescent="0.45">
      <c r="B19" s="143"/>
      <c r="C19" s="75" t="s">
        <v>697</v>
      </c>
      <c r="D19" s="76" t="s">
        <v>698</v>
      </c>
      <c r="E19" s="222">
        <v>0</v>
      </c>
      <c r="F19" s="222">
        <v>0</v>
      </c>
      <c r="G19" s="222">
        <v>937</v>
      </c>
      <c r="H19" s="215">
        <v>1812</v>
      </c>
      <c r="I19" s="213">
        <v>2853</v>
      </c>
      <c r="J19" s="211">
        <v>0</v>
      </c>
      <c r="K19" s="211">
        <v>0</v>
      </c>
      <c r="L19" s="211">
        <v>6</v>
      </c>
      <c r="M19" s="214">
        <f>6171+199</f>
        <v>6370</v>
      </c>
      <c r="N19" s="214">
        <f t="shared" si="0"/>
        <v>6376</v>
      </c>
      <c r="O19" s="223">
        <v>0</v>
      </c>
      <c r="P19" s="223">
        <v>0</v>
      </c>
      <c r="Q19" s="226">
        <f>6%*Q18</f>
        <v>1.56</v>
      </c>
      <c r="R19" s="227">
        <v>2590</v>
      </c>
      <c r="S19" s="188"/>
      <c r="T19" s="188"/>
      <c r="U19" s="188"/>
      <c r="V19" s="188"/>
      <c r="W19" s="76" t="s">
        <v>696</v>
      </c>
      <c r="X19" s="76"/>
    </row>
    <row r="20" spans="2:24" ht="28.5" customHeight="1" x14ac:dyDescent="0.45">
      <c r="B20" s="143"/>
      <c r="C20" s="75" t="s">
        <v>699</v>
      </c>
      <c r="D20" s="76" t="s">
        <v>700</v>
      </c>
      <c r="E20" s="222">
        <v>0</v>
      </c>
      <c r="F20" s="222">
        <v>0</v>
      </c>
      <c r="G20" s="229">
        <v>19612</v>
      </c>
      <c r="H20" s="229">
        <v>30692</v>
      </c>
      <c r="I20" s="228">
        <v>47969</v>
      </c>
      <c r="J20" s="223">
        <v>0</v>
      </c>
      <c r="K20" s="223">
        <v>0</v>
      </c>
      <c r="L20" s="223">
        <v>49</v>
      </c>
      <c r="M20" s="216">
        <v>90991</v>
      </c>
      <c r="N20" s="216">
        <f t="shared" si="0"/>
        <v>91040</v>
      </c>
      <c r="O20" s="223">
        <v>0</v>
      </c>
      <c r="P20" s="223">
        <v>0</v>
      </c>
      <c r="Q20" s="223">
        <f>Q18</f>
        <v>26</v>
      </c>
      <c r="R20" s="227">
        <f>R22*R18</f>
        <v>38194.75</v>
      </c>
      <c r="S20" s="188"/>
      <c r="T20" s="188"/>
      <c r="U20" s="188"/>
      <c r="V20" s="188"/>
      <c r="W20" s="76" t="s">
        <v>701</v>
      </c>
      <c r="X20" s="76"/>
    </row>
    <row r="21" spans="2:24" ht="32.25" customHeight="1" x14ac:dyDescent="0.45">
      <c r="B21" s="143"/>
      <c r="C21" s="75" t="s">
        <v>702</v>
      </c>
      <c r="D21" s="76" t="s">
        <v>703</v>
      </c>
      <c r="E21" s="222">
        <v>0</v>
      </c>
      <c r="F21" s="222">
        <v>0</v>
      </c>
      <c r="G21" s="222">
        <v>656</v>
      </c>
      <c r="H21" s="229">
        <v>1812</v>
      </c>
      <c r="I21" s="229">
        <v>2756</v>
      </c>
      <c r="J21" s="223">
        <v>0</v>
      </c>
      <c r="K21" s="223">
        <v>0</v>
      </c>
      <c r="L21" s="223">
        <v>6</v>
      </c>
      <c r="M21" s="227">
        <v>6262</v>
      </c>
      <c r="N21" s="227">
        <f t="shared" si="0"/>
        <v>6268</v>
      </c>
      <c r="O21" s="223">
        <v>0</v>
      </c>
      <c r="P21" s="223">
        <v>0</v>
      </c>
      <c r="Q21" s="226">
        <f>Q19</f>
        <v>1.56</v>
      </c>
      <c r="R21" s="227">
        <f>R19</f>
        <v>2590</v>
      </c>
      <c r="S21" s="188"/>
      <c r="T21" s="188"/>
      <c r="U21" s="188"/>
      <c r="V21" s="188"/>
      <c r="W21" s="76" t="s">
        <v>701</v>
      </c>
      <c r="X21" s="76"/>
    </row>
    <row r="22" spans="2:24" x14ac:dyDescent="0.45">
      <c r="B22" s="143"/>
      <c r="C22" s="75" t="s">
        <v>704</v>
      </c>
      <c r="D22" s="76" t="s">
        <v>705</v>
      </c>
      <c r="E22" s="222">
        <v>0</v>
      </c>
      <c r="F22" s="222">
        <v>0</v>
      </c>
      <c r="G22" s="232">
        <f t="shared" ref="G22:I23" si="1">G20/G18</f>
        <v>1.1131165219365458</v>
      </c>
      <c r="H22" s="232">
        <f t="shared" si="1"/>
        <v>1.0207190129369117</v>
      </c>
      <c r="I22" s="232">
        <f t="shared" si="1"/>
        <v>0.96168805132317559</v>
      </c>
      <c r="J22" s="225">
        <v>0</v>
      </c>
      <c r="K22" s="225">
        <v>0</v>
      </c>
      <c r="L22" s="232">
        <f>L20/L18</f>
        <v>1</v>
      </c>
      <c r="M22" s="232">
        <f>M20/M18</f>
        <v>0.91232766832105083</v>
      </c>
      <c r="N22" s="232">
        <f t="shared" si="0"/>
        <v>1.9123276683210508</v>
      </c>
      <c r="O22" s="223">
        <v>0</v>
      </c>
      <c r="P22" s="223">
        <v>0</v>
      </c>
      <c r="Q22" s="233">
        <v>1</v>
      </c>
      <c r="R22" s="233">
        <v>0.95</v>
      </c>
      <c r="S22" s="188"/>
      <c r="T22" s="188"/>
      <c r="U22" s="188"/>
      <c r="V22" s="188"/>
      <c r="W22" s="76" t="s">
        <v>706</v>
      </c>
      <c r="X22" s="76"/>
    </row>
    <row r="23" spans="2:24" ht="30.75" customHeight="1" x14ac:dyDescent="0.45">
      <c r="B23" s="143"/>
      <c r="C23" s="75" t="s">
        <v>707</v>
      </c>
      <c r="D23" s="76" t="s">
        <v>708</v>
      </c>
      <c r="E23" s="222">
        <v>0</v>
      </c>
      <c r="F23" s="222">
        <v>0</v>
      </c>
      <c r="G23" s="232">
        <f t="shared" si="1"/>
        <v>0.70010672358591253</v>
      </c>
      <c r="H23" s="232">
        <f t="shared" si="1"/>
        <v>1</v>
      </c>
      <c r="I23" s="232">
        <f t="shared" si="1"/>
        <v>0.96600070101647384</v>
      </c>
      <c r="J23" s="232">
        <v>0</v>
      </c>
      <c r="K23" s="232">
        <v>0</v>
      </c>
      <c r="L23" s="232">
        <f>L21/L19</f>
        <v>1</v>
      </c>
      <c r="M23" s="232">
        <f>M21/M19</f>
        <v>0.9830455259026688</v>
      </c>
      <c r="N23" s="232">
        <f t="shared" si="0"/>
        <v>1.9830455259026687</v>
      </c>
      <c r="O23" s="223">
        <v>0</v>
      </c>
      <c r="P23" s="223">
        <v>0</v>
      </c>
      <c r="Q23" s="233">
        <v>1</v>
      </c>
      <c r="R23" s="233">
        <v>1</v>
      </c>
      <c r="S23" s="188"/>
      <c r="T23" s="188"/>
      <c r="U23" s="188"/>
      <c r="V23" s="188"/>
      <c r="W23" s="76" t="s">
        <v>709</v>
      </c>
      <c r="X23" s="76"/>
    </row>
    <row r="24" spans="2:24" x14ac:dyDescent="0.45">
      <c r="B24" s="143" t="s">
        <v>710</v>
      </c>
      <c r="C24" s="75" t="s">
        <v>139</v>
      </c>
      <c r="D24" s="76" t="s">
        <v>711</v>
      </c>
      <c r="E24" s="222">
        <v>0</v>
      </c>
      <c r="F24" s="222">
        <v>0</v>
      </c>
      <c r="G24" s="217">
        <v>0</v>
      </c>
      <c r="H24" s="217">
        <v>0</v>
      </c>
      <c r="I24" s="222">
        <v>1</v>
      </c>
      <c r="J24" s="223">
        <v>0</v>
      </c>
      <c r="K24" s="223">
        <v>0</v>
      </c>
      <c r="L24" s="223">
        <v>1</v>
      </c>
      <c r="M24" s="223">
        <v>1</v>
      </c>
      <c r="N24" s="223">
        <f t="shared" si="0"/>
        <v>2</v>
      </c>
      <c r="O24" s="223">
        <v>0</v>
      </c>
      <c r="P24" s="223">
        <v>0</v>
      </c>
      <c r="Q24" s="223">
        <v>0.25</v>
      </c>
      <c r="R24" s="224">
        <v>0.5</v>
      </c>
      <c r="S24" s="188"/>
      <c r="T24" s="188"/>
      <c r="U24" s="188"/>
      <c r="V24" s="188"/>
      <c r="W24" s="76" t="s">
        <v>712</v>
      </c>
      <c r="X24" s="76"/>
    </row>
    <row r="25" spans="2:24" x14ac:dyDescent="0.45">
      <c r="B25" s="143"/>
      <c r="C25" s="75" t="s">
        <v>142</v>
      </c>
      <c r="D25" s="76" t="s">
        <v>713</v>
      </c>
      <c r="E25" s="222">
        <v>0</v>
      </c>
      <c r="F25" s="222">
        <v>0</v>
      </c>
      <c r="G25" s="228">
        <v>67266</v>
      </c>
      <c r="H25" s="228">
        <v>79587</v>
      </c>
      <c r="I25" s="228">
        <v>112582</v>
      </c>
      <c r="J25" s="226">
        <v>0</v>
      </c>
      <c r="K25" s="226">
        <v>0</v>
      </c>
      <c r="L25" s="227">
        <v>4214</v>
      </c>
      <c r="M25" s="227">
        <v>153033</v>
      </c>
      <c r="N25" s="227">
        <f t="shared" si="0"/>
        <v>157247</v>
      </c>
      <c r="O25" s="223">
        <v>0</v>
      </c>
      <c r="P25" s="223">
        <v>0</v>
      </c>
      <c r="Q25" s="227">
        <v>2815.5</v>
      </c>
      <c r="R25" s="227">
        <v>97388</v>
      </c>
      <c r="S25" s="188"/>
      <c r="T25" s="188"/>
      <c r="U25" s="188"/>
      <c r="V25" s="188"/>
      <c r="W25" s="76" t="s">
        <v>614</v>
      </c>
      <c r="X25" s="76"/>
    </row>
    <row r="26" spans="2:24" x14ac:dyDescent="0.45">
      <c r="B26" s="143"/>
      <c r="C26" s="75" t="s">
        <v>714</v>
      </c>
      <c r="D26" s="185" t="s">
        <v>715</v>
      </c>
      <c r="E26" s="225">
        <v>0</v>
      </c>
      <c r="F26" s="225">
        <v>0</v>
      </c>
      <c r="G26" s="234">
        <v>1.5E-3</v>
      </c>
      <c r="H26" s="234">
        <v>1.6000000000000001E-3</v>
      </c>
      <c r="I26" s="234">
        <v>3.3E-3</v>
      </c>
      <c r="J26" s="225">
        <v>0</v>
      </c>
      <c r="K26" s="225">
        <v>0</v>
      </c>
      <c r="L26" s="234">
        <v>4.0000000000000002E-4</v>
      </c>
      <c r="M26" s="234">
        <v>3.0000000000000001E-3</v>
      </c>
      <c r="N26" s="234">
        <f t="shared" si="0"/>
        <v>3.4000000000000002E-3</v>
      </c>
      <c r="O26" s="223">
        <v>0</v>
      </c>
      <c r="P26" s="223">
        <v>0</v>
      </c>
      <c r="Q26" s="235">
        <v>4.814506750161367E-4</v>
      </c>
      <c r="R26" s="235">
        <v>1.7986635494532128E-3</v>
      </c>
      <c r="S26" s="188"/>
      <c r="T26" s="188"/>
      <c r="U26" s="188"/>
      <c r="V26" s="188"/>
      <c r="W26" s="76" t="s">
        <v>716</v>
      </c>
      <c r="X26" s="76"/>
    </row>
    <row r="27" spans="2:24" x14ac:dyDescent="0.45">
      <c r="B27" s="143"/>
      <c r="C27" s="75" t="s">
        <v>717</v>
      </c>
      <c r="D27" s="76" t="s">
        <v>718</v>
      </c>
      <c r="E27" s="222">
        <v>0</v>
      </c>
      <c r="F27" s="222">
        <v>0</v>
      </c>
      <c r="G27" s="222">
        <v>1</v>
      </c>
      <c r="H27" s="222">
        <v>3</v>
      </c>
      <c r="I27" s="225">
        <v>2</v>
      </c>
      <c r="J27" s="226">
        <v>0</v>
      </c>
      <c r="K27" s="226">
        <v>0</v>
      </c>
      <c r="L27" s="226">
        <v>0</v>
      </c>
      <c r="M27" s="226">
        <v>3</v>
      </c>
      <c r="N27" s="226">
        <f t="shared" si="0"/>
        <v>3</v>
      </c>
      <c r="O27" s="223">
        <v>0</v>
      </c>
      <c r="P27" s="223">
        <v>0</v>
      </c>
      <c r="Q27" s="223">
        <v>0.25</v>
      </c>
      <c r="R27" s="223">
        <v>2.25</v>
      </c>
      <c r="S27" s="188"/>
      <c r="T27" s="188"/>
      <c r="U27" s="188"/>
      <c r="V27" s="188"/>
      <c r="W27" s="76" t="s">
        <v>719</v>
      </c>
      <c r="X27" s="76"/>
    </row>
    <row r="28" spans="2:24" ht="33" customHeight="1" x14ac:dyDescent="0.45">
      <c r="B28" s="143"/>
      <c r="C28" s="75" t="s">
        <v>720</v>
      </c>
      <c r="D28" s="76" t="s">
        <v>721</v>
      </c>
      <c r="E28" s="222">
        <v>0</v>
      </c>
      <c r="F28" s="222">
        <v>0</v>
      </c>
      <c r="G28" s="212">
        <v>16848</v>
      </c>
      <c r="H28" s="212">
        <v>30048</v>
      </c>
      <c r="I28" s="212">
        <v>49462</v>
      </c>
      <c r="J28" s="218">
        <v>0</v>
      </c>
      <c r="K28" s="218">
        <v>0</v>
      </c>
      <c r="L28" s="218">
        <v>0</v>
      </c>
      <c r="M28" s="212">
        <v>89995</v>
      </c>
      <c r="N28" s="212">
        <f t="shared" si="0"/>
        <v>89995</v>
      </c>
      <c r="O28" s="223">
        <v>0</v>
      </c>
      <c r="P28" s="223">
        <v>0</v>
      </c>
      <c r="Q28" s="223">
        <v>0</v>
      </c>
      <c r="R28" s="227">
        <v>36814</v>
      </c>
      <c r="S28" s="188"/>
      <c r="T28" s="188"/>
      <c r="U28" s="188"/>
      <c r="V28" s="188"/>
      <c r="W28" s="76" t="s">
        <v>722</v>
      </c>
      <c r="X28" s="76"/>
    </row>
    <row r="29" spans="2:24" x14ac:dyDescent="0.45">
      <c r="B29" s="143"/>
      <c r="C29" s="75" t="s">
        <v>723</v>
      </c>
      <c r="D29" s="185" t="s">
        <v>724</v>
      </c>
      <c r="E29" s="222">
        <v>0</v>
      </c>
      <c r="F29" s="222">
        <v>0</v>
      </c>
      <c r="G29" s="228">
        <v>128</v>
      </c>
      <c r="H29" s="228">
        <v>91</v>
      </c>
      <c r="I29" s="228">
        <v>75</v>
      </c>
      <c r="J29" s="223">
        <v>0</v>
      </c>
      <c r="K29" s="223">
        <v>0</v>
      </c>
      <c r="L29" s="223">
        <v>0</v>
      </c>
      <c r="M29" s="228">
        <v>80</v>
      </c>
      <c r="N29" s="228">
        <f t="shared" si="0"/>
        <v>80</v>
      </c>
      <c r="O29" s="223">
        <v>0</v>
      </c>
      <c r="P29" s="223">
        <v>0</v>
      </c>
      <c r="Q29" s="223">
        <v>0</v>
      </c>
      <c r="R29" s="226">
        <v>69.429999999999993</v>
      </c>
      <c r="S29" s="188"/>
      <c r="T29" s="188"/>
      <c r="U29" s="188"/>
      <c r="V29" s="188"/>
      <c r="W29" s="76" t="s">
        <v>725</v>
      </c>
      <c r="X29" s="76"/>
    </row>
    <row r="30" spans="2:24" x14ac:dyDescent="0.45">
      <c r="W30" s="202"/>
      <c r="X30" s="202"/>
    </row>
    <row r="31" spans="2:24" x14ac:dyDescent="0.45">
      <c r="W31" s="202"/>
      <c r="X31" s="202"/>
    </row>
    <row r="32" spans="2:24" x14ac:dyDescent="0.45">
      <c r="W32" s="202"/>
      <c r="X32" s="202"/>
    </row>
  </sheetData>
  <dataValidations count="1">
    <dataValidation type="custom" operator="greaterThanOrEqual" allowBlank="1" showInputMessage="1" showErrorMessage="1" error="This cell only accepts a number of &quot;NA&quot;_x000a_" sqref="E8:V29" xr:uid="{8B176FF6-5630-44FE-AC33-9D34ABE4C0AC}">
      <formula1>OR(AND(ISNUMBER(E8), E8&gt;=0), E8 ="NA")</formula1>
    </dataValidation>
  </dataValidations>
  <pageMargins left="0.7" right="0.7" top="0.75" bottom="0.75" header="0.3" footer="0.3"/>
  <pageSetup paperSize="5" scale="35" fitToHeight="0" orientation="landscape" r:id="rId1"/>
  <headerFooter>
    <oddFooter>&amp;LSDGE 2021 WMP - &amp;A&amp;C&amp;P&amp;R&amp;D</oddFooter>
  </headerFooter>
  <customProperties>
    <customPr name="_pios_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5802-4908-493F-858E-7774C3CAEFDA}">
  <sheetPr codeName="Sheet14">
    <pageSetUpPr fitToPage="1"/>
  </sheetPr>
  <dimension ref="A1:AL123"/>
  <sheetViews>
    <sheetView tabSelected="1" topLeftCell="A7" zoomScaleNormal="100" zoomScaleSheetLayoutView="10" zoomScalePageLayoutView="55" workbookViewId="0">
      <pane ySplit="1" topLeftCell="A92" activePane="bottomLeft" state="frozen"/>
      <selection activeCell="D7" sqref="D7"/>
      <selection pane="bottomLeft" activeCell="U94" sqref="U94"/>
    </sheetView>
  </sheetViews>
  <sheetFormatPr defaultColWidth="8.73046875" defaultRowHeight="27" customHeight="1" outlineLevelCol="1" x14ac:dyDescent="0.45"/>
  <cols>
    <col min="1" max="1" width="8.73046875" style="17"/>
    <col min="2" max="2" width="13.265625" style="17" customWidth="1"/>
    <col min="3" max="3" width="23.265625" style="17" customWidth="1"/>
    <col min="4" max="4" width="12.3984375" style="17" customWidth="1"/>
    <col min="5" max="5" width="47.1328125" style="48" customWidth="1"/>
    <col min="6" max="6" width="15.3984375" style="48" hidden="1" customWidth="1"/>
    <col min="7" max="7" width="20.53125" style="17" hidden="1" customWidth="1" outlineLevel="1"/>
    <col min="8" max="8" width="20.86328125" style="17" hidden="1" customWidth="1" outlineLevel="1"/>
    <col min="9" max="9" width="11.73046875" style="164" hidden="1" customWidth="1" outlineLevel="1"/>
    <col min="10" max="11" width="15.3984375" style="17" hidden="1" customWidth="1" outlineLevel="1"/>
    <col min="12" max="13" width="15.3984375" style="17" customWidth="1" outlineLevel="1"/>
    <col min="14" max="14" width="21.59765625" style="17" hidden="1" customWidth="1" outlineLevel="1"/>
    <col min="15" max="15" width="17.265625" style="17" hidden="1" customWidth="1" outlineLevel="1"/>
    <col min="16" max="16" width="20.265625" style="17" hidden="1" customWidth="1" outlineLevel="1"/>
    <col min="17" max="17" width="23" style="17" hidden="1" customWidth="1" outlineLevel="1"/>
    <col min="18" max="18" width="48.1328125" style="17" hidden="1" customWidth="1" outlineLevel="1"/>
    <col min="19" max="19" width="25.59765625" style="17" hidden="1" customWidth="1" outlineLevel="1"/>
    <col min="20" max="20" width="16.1328125" style="17" hidden="1" customWidth="1"/>
    <col min="21" max="22" width="12" style="17" customWidth="1"/>
    <col min="23" max="23" width="18.265625" style="164" hidden="1" customWidth="1" outlineLevel="1"/>
    <col min="24" max="25" width="15.73046875" style="164" hidden="1" customWidth="1" outlineLevel="1"/>
    <col min="26" max="28" width="15.73046875" style="17" hidden="1" customWidth="1" outlineLevel="1"/>
    <col min="29" max="37" width="15.73046875" style="17" customWidth="1" outlineLevel="1"/>
    <col min="38" max="38" width="96.3984375" style="239" customWidth="1"/>
    <col min="39" max="16368" width="8.73046875" style="17"/>
    <col min="16369" max="16374" width="8.73046875" style="17" bestFit="1"/>
    <col min="16375" max="16384" width="8.73046875" style="17"/>
  </cols>
  <sheetData>
    <row r="1" spans="2:38" ht="14.25" x14ac:dyDescent="0.45"/>
    <row r="2" spans="2:38" ht="14.25" x14ac:dyDescent="0.45">
      <c r="B2" s="14" t="s">
        <v>0</v>
      </c>
      <c r="C2" s="64" t="s">
        <v>726</v>
      </c>
      <c r="D2" s="46" t="s">
        <v>1</v>
      </c>
    </row>
    <row r="3" spans="2:38" ht="14.25" x14ac:dyDescent="0.45">
      <c r="B3" s="15" t="s">
        <v>2</v>
      </c>
      <c r="C3" s="51">
        <v>12</v>
      </c>
      <c r="D3" s="69" t="s">
        <v>727</v>
      </c>
    </row>
    <row r="4" spans="2:38" ht="14.25" x14ac:dyDescent="0.45">
      <c r="B4" s="16" t="s">
        <v>4</v>
      </c>
      <c r="C4" s="66">
        <v>44232</v>
      </c>
      <c r="D4" s="186" t="s">
        <v>728</v>
      </c>
      <c r="E4" s="147"/>
      <c r="F4" s="147"/>
      <c r="I4" s="182"/>
      <c r="J4" s="46"/>
      <c r="K4" s="46"/>
      <c r="L4" s="46"/>
      <c r="M4" s="46"/>
    </row>
    <row r="5" spans="2:38" ht="14.25" x14ac:dyDescent="0.45">
      <c r="E5" s="147"/>
      <c r="F5" s="147"/>
      <c r="I5" s="182"/>
      <c r="J5" s="46"/>
      <c r="K5" s="46"/>
      <c r="L5" s="46"/>
      <c r="M5" s="46"/>
      <c r="W5" s="165" t="s">
        <v>649</v>
      </c>
      <c r="X5" s="165" t="s">
        <v>649</v>
      </c>
      <c r="Y5" s="165" t="s">
        <v>649</v>
      </c>
      <c r="Z5" s="148" t="s">
        <v>649</v>
      </c>
      <c r="AA5" s="149" t="s">
        <v>650</v>
      </c>
      <c r="AB5" s="149" t="s">
        <v>650</v>
      </c>
      <c r="AC5" s="149"/>
      <c r="AD5" s="149"/>
      <c r="AE5" s="149"/>
      <c r="AF5" s="149" t="s">
        <v>650</v>
      </c>
      <c r="AG5" s="149" t="s">
        <v>650</v>
      </c>
      <c r="AH5" s="149" t="s">
        <v>650</v>
      </c>
      <c r="AI5" s="149" t="s">
        <v>650</v>
      </c>
      <c r="AJ5" s="149" t="s">
        <v>650</v>
      </c>
      <c r="AK5" s="149" t="s">
        <v>650</v>
      </c>
    </row>
    <row r="6" spans="2:38" ht="28.5" x14ac:dyDescent="0.45">
      <c r="B6" s="68" t="s">
        <v>729</v>
      </c>
      <c r="E6" s="147"/>
      <c r="F6" s="147"/>
      <c r="I6" s="182"/>
      <c r="J6" s="46"/>
      <c r="K6" s="46"/>
      <c r="L6" s="46"/>
      <c r="M6" s="46"/>
      <c r="W6" s="236" t="s">
        <v>730</v>
      </c>
      <c r="X6" s="236" t="s">
        <v>731</v>
      </c>
      <c r="Y6" s="236" t="s">
        <v>732</v>
      </c>
      <c r="Z6" s="237" t="s">
        <v>733</v>
      </c>
      <c r="AA6" s="237" t="s">
        <v>730</v>
      </c>
      <c r="AB6" s="237" t="s">
        <v>731</v>
      </c>
      <c r="AC6" s="237" t="s">
        <v>1111</v>
      </c>
      <c r="AD6" s="237"/>
      <c r="AE6" s="237"/>
      <c r="AF6" s="237" t="s">
        <v>732</v>
      </c>
      <c r="AG6" s="237" t="s">
        <v>733</v>
      </c>
      <c r="AH6" s="237" t="s">
        <v>730</v>
      </c>
      <c r="AI6" s="237" t="s">
        <v>731</v>
      </c>
      <c r="AJ6" s="237" t="s">
        <v>732</v>
      </c>
      <c r="AK6" s="237" t="s">
        <v>733</v>
      </c>
    </row>
    <row r="7" spans="2:38" s="48" customFormat="1" ht="31.5" customHeight="1" x14ac:dyDescent="0.45">
      <c r="B7" s="47" t="s">
        <v>7</v>
      </c>
      <c r="C7" s="155" t="s">
        <v>734</v>
      </c>
      <c r="D7" s="156" t="s">
        <v>735</v>
      </c>
      <c r="E7" s="155" t="s">
        <v>736</v>
      </c>
      <c r="F7" s="155" t="s">
        <v>737</v>
      </c>
      <c r="G7" s="47" t="s">
        <v>738</v>
      </c>
      <c r="H7" s="47" t="s">
        <v>739</v>
      </c>
      <c r="I7" s="47" t="s">
        <v>740</v>
      </c>
      <c r="J7" s="47" t="s">
        <v>741</v>
      </c>
      <c r="K7" s="47" t="s">
        <v>742</v>
      </c>
      <c r="L7" s="47" t="s">
        <v>743</v>
      </c>
      <c r="M7" s="47" t="s">
        <v>744</v>
      </c>
      <c r="N7" s="47" t="s">
        <v>745</v>
      </c>
      <c r="O7" s="47" t="s">
        <v>746</v>
      </c>
      <c r="P7" s="47" t="s">
        <v>747</v>
      </c>
      <c r="Q7" s="47" t="s">
        <v>748</v>
      </c>
      <c r="R7" s="47" t="s">
        <v>749</v>
      </c>
      <c r="S7" s="47" t="s">
        <v>750</v>
      </c>
      <c r="T7" s="47" t="s">
        <v>11</v>
      </c>
      <c r="U7" s="47" t="s">
        <v>1112</v>
      </c>
      <c r="V7" s="47" t="s">
        <v>1113</v>
      </c>
      <c r="W7" s="163">
        <v>2020</v>
      </c>
      <c r="X7" s="163">
        <v>2020</v>
      </c>
      <c r="Y7" s="163">
        <v>2020</v>
      </c>
      <c r="Z7" s="47">
        <v>2020</v>
      </c>
      <c r="AA7" s="163">
        <v>2021</v>
      </c>
      <c r="AB7" s="163">
        <v>2021</v>
      </c>
      <c r="AC7" s="237" t="s">
        <v>1111</v>
      </c>
      <c r="AD7" s="237" t="s">
        <v>1114</v>
      </c>
      <c r="AE7" s="237" t="s">
        <v>1115</v>
      </c>
      <c r="AF7" s="163">
        <v>2021</v>
      </c>
      <c r="AG7" s="163">
        <v>2021</v>
      </c>
      <c r="AH7" s="163">
        <v>2022</v>
      </c>
      <c r="AI7" s="163">
        <v>2022</v>
      </c>
      <c r="AJ7" s="163">
        <v>2022</v>
      </c>
      <c r="AK7" s="163">
        <v>2022</v>
      </c>
      <c r="AL7" s="47" t="s">
        <v>751</v>
      </c>
    </row>
    <row r="8" spans="2:38" s="154" customFormat="1" ht="57" x14ac:dyDescent="0.45">
      <c r="B8" s="152" t="s">
        <v>304</v>
      </c>
      <c r="C8" s="191" t="s">
        <v>288</v>
      </c>
      <c r="D8" s="191" t="s">
        <v>752</v>
      </c>
      <c r="E8" s="191" t="s">
        <v>753</v>
      </c>
      <c r="F8" s="191" t="s">
        <v>754</v>
      </c>
      <c r="G8" s="130"/>
      <c r="H8" s="130"/>
      <c r="I8" s="162">
        <v>2012</v>
      </c>
      <c r="J8" s="153" t="s">
        <v>95</v>
      </c>
      <c r="K8" s="153" t="s">
        <v>95</v>
      </c>
      <c r="L8" s="153" t="s">
        <v>95</v>
      </c>
      <c r="M8" s="153" t="s">
        <v>95</v>
      </c>
      <c r="N8" s="153" t="s">
        <v>755</v>
      </c>
      <c r="O8" s="153" t="s">
        <v>95</v>
      </c>
      <c r="P8" s="153" t="s">
        <v>756</v>
      </c>
      <c r="Q8" s="153" t="s">
        <v>757</v>
      </c>
      <c r="R8" s="153"/>
      <c r="S8" s="153"/>
      <c r="T8" s="153"/>
      <c r="U8" s="153"/>
      <c r="V8" s="153"/>
      <c r="W8" s="192">
        <v>1190.5992808368801</v>
      </c>
      <c r="X8" s="169">
        <v>0</v>
      </c>
      <c r="Y8" s="153" t="s">
        <v>95</v>
      </c>
      <c r="Z8" s="153" t="s">
        <v>95</v>
      </c>
      <c r="AA8" s="238">
        <v>1539.3400779200001</v>
      </c>
      <c r="AB8" s="169">
        <v>0</v>
      </c>
      <c r="AC8" s="169">
        <f>SUM(W8:AB8)</f>
        <v>2729.9393587568802</v>
      </c>
      <c r="AD8" s="169"/>
      <c r="AE8" s="169"/>
      <c r="AF8" s="153" t="s">
        <v>95</v>
      </c>
      <c r="AG8" s="153" t="s">
        <v>95</v>
      </c>
      <c r="AH8" s="238">
        <v>1881.4154597280001</v>
      </c>
      <c r="AI8" s="169">
        <v>0</v>
      </c>
      <c r="AJ8" s="153" t="s">
        <v>95</v>
      </c>
      <c r="AK8" s="153" t="s">
        <v>95</v>
      </c>
      <c r="AL8" s="245" t="s">
        <v>758</v>
      </c>
    </row>
    <row r="9" spans="2:38" s="154" customFormat="1" ht="42.75" x14ac:dyDescent="0.45">
      <c r="B9" s="152" t="s">
        <v>304</v>
      </c>
      <c r="C9" s="191" t="s">
        <v>288</v>
      </c>
      <c r="D9" s="191" t="s">
        <v>759</v>
      </c>
      <c r="E9" s="191" t="s">
        <v>760</v>
      </c>
      <c r="F9" s="191" t="s">
        <v>761</v>
      </c>
      <c r="G9" s="130"/>
      <c r="H9" s="130"/>
      <c r="I9" s="162">
        <v>2012</v>
      </c>
      <c r="J9" s="153"/>
      <c r="K9" s="153"/>
      <c r="L9" s="153"/>
      <c r="M9" s="153"/>
      <c r="N9" s="153"/>
      <c r="O9" s="153"/>
      <c r="P9" s="153"/>
      <c r="Q9" s="153"/>
      <c r="R9" s="153" t="s">
        <v>753</v>
      </c>
      <c r="S9" s="153"/>
      <c r="T9" s="153"/>
      <c r="U9" s="153"/>
      <c r="V9" s="153"/>
      <c r="W9" s="169">
        <v>0</v>
      </c>
      <c r="X9" s="169">
        <v>0</v>
      </c>
      <c r="Y9" s="153"/>
      <c r="Z9" s="153"/>
      <c r="AA9" s="169">
        <v>0</v>
      </c>
      <c r="AB9" s="169">
        <v>0</v>
      </c>
      <c r="AC9" s="169">
        <f t="shared" ref="AC9:AC72" si="0">SUM(W9:AB9)</f>
        <v>0</v>
      </c>
      <c r="AD9" s="169"/>
      <c r="AE9" s="169"/>
      <c r="AF9" s="153"/>
      <c r="AG9" s="153"/>
      <c r="AH9" s="169">
        <v>0</v>
      </c>
      <c r="AI9" s="169">
        <v>0</v>
      </c>
      <c r="AJ9" s="153"/>
      <c r="AK9" s="153"/>
      <c r="AL9" s="245"/>
    </row>
    <row r="10" spans="2:38" s="154" customFormat="1" ht="42.75" x14ac:dyDescent="0.45">
      <c r="B10" s="152" t="s">
        <v>304</v>
      </c>
      <c r="C10" s="191" t="s">
        <v>288</v>
      </c>
      <c r="D10" s="191" t="s">
        <v>762</v>
      </c>
      <c r="E10" s="191" t="s">
        <v>763</v>
      </c>
      <c r="F10" s="191" t="s">
        <v>764</v>
      </c>
      <c r="G10" s="130"/>
      <c r="H10" s="130"/>
      <c r="I10" s="162">
        <v>2012</v>
      </c>
      <c r="J10" s="153"/>
      <c r="K10" s="153"/>
      <c r="L10" s="153"/>
      <c r="M10" s="153"/>
      <c r="N10" s="153"/>
      <c r="O10" s="153"/>
      <c r="P10" s="153"/>
      <c r="Q10" s="153"/>
      <c r="R10" s="153" t="s">
        <v>753</v>
      </c>
      <c r="S10" s="153"/>
      <c r="T10" s="153"/>
      <c r="U10" s="153"/>
      <c r="V10" s="153"/>
      <c r="W10" s="169">
        <v>0</v>
      </c>
      <c r="X10" s="169">
        <v>0</v>
      </c>
      <c r="Y10" s="153"/>
      <c r="Z10" s="153"/>
      <c r="AA10" s="169">
        <v>0</v>
      </c>
      <c r="AB10" s="169">
        <v>0</v>
      </c>
      <c r="AC10" s="169">
        <f t="shared" si="0"/>
        <v>0</v>
      </c>
      <c r="AD10" s="169"/>
      <c r="AE10" s="169"/>
      <c r="AF10" s="153"/>
      <c r="AG10" s="153"/>
      <c r="AH10" s="169">
        <v>0</v>
      </c>
      <c r="AI10" s="169">
        <v>0</v>
      </c>
      <c r="AJ10" s="153"/>
      <c r="AK10" s="153"/>
      <c r="AL10" s="246"/>
    </row>
    <row r="11" spans="2:38" s="154" customFormat="1" ht="42.75" x14ac:dyDescent="0.45">
      <c r="B11" s="152" t="s">
        <v>304</v>
      </c>
      <c r="C11" s="191" t="s">
        <v>288</v>
      </c>
      <c r="D11" s="191" t="s">
        <v>765</v>
      </c>
      <c r="E11" s="191" t="s">
        <v>766</v>
      </c>
      <c r="F11" s="191" t="s">
        <v>767</v>
      </c>
      <c r="G11" s="130"/>
      <c r="H11" s="130"/>
      <c r="I11" s="162">
        <v>2012</v>
      </c>
      <c r="J11" s="153"/>
      <c r="K11" s="153"/>
      <c r="L11" s="153"/>
      <c r="M11" s="153"/>
      <c r="N11" s="153"/>
      <c r="O11" s="153"/>
      <c r="P11" s="153"/>
      <c r="Q11" s="153"/>
      <c r="R11" s="153" t="s">
        <v>753</v>
      </c>
      <c r="S11" s="153"/>
      <c r="T11" s="153"/>
      <c r="U11" s="153"/>
      <c r="V11" s="153"/>
      <c r="W11" s="169">
        <v>0</v>
      </c>
      <c r="X11" s="169">
        <v>0</v>
      </c>
      <c r="Y11" s="153"/>
      <c r="Z11" s="153"/>
      <c r="AA11" s="169">
        <v>0</v>
      </c>
      <c r="AB11" s="169">
        <v>0</v>
      </c>
      <c r="AC11" s="169">
        <f t="shared" si="0"/>
        <v>0</v>
      </c>
      <c r="AD11" s="169"/>
      <c r="AE11" s="169"/>
      <c r="AF11" s="153"/>
      <c r="AG11" s="153"/>
      <c r="AH11" s="169">
        <v>0</v>
      </c>
      <c r="AI11" s="169">
        <v>0</v>
      </c>
      <c r="AJ11" s="153"/>
      <c r="AK11" s="153"/>
      <c r="AL11" s="246"/>
    </row>
    <row r="12" spans="2:38" s="154" customFormat="1" ht="42.75" x14ac:dyDescent="0.45">
      <c r="B12" s="152" t="s">
        <v>304</v>
      </c>
      <c r="C12" s="191" t="s">
        <v>288</v>
      </c>
      <c r="D12" s="191" t="s">
        <v>768</v>
      </c>
      <c r="E12" s="191" t="s">
        <v>769</v>
      </c>
      <c r="F12" s="191" t="s">
        <v>770</v>
      </c>
      <c r="G12" s="130"/>
      <c r="H12" s="130"/>
      <c r="I12" s="162">
        <v>2012</v>
      </c>
      <c r="J12" s="153"/>
      <c r="K12" s="153"/>
      <c r="L12" s="153"/>
      <c r="M12" s="153"/>
      <c r="N12" s="153"/>
      <c r="O12" s="153"/>
      <c r="P12" s="153"/>
      <c r="Q12" s="153"/>
      <c r="R12" s="153" t="s">
        <v>753</v>
      </c>
      <c r="S12" s="153"/>
      <c r="T12" s="153"/>
      <c r="U12" s="153"/>
      <c r="V12" s="153"/>
      <c r="W12" s="169">
        <v>0</v>
      </c>
      <c r="X12" s="169">
        <v>0</v>
      </c>
      <c r="Y12" s="153"/>
      <c r="Z12" s="153"/>
      <c r="AA12" s="169">
        <v>0</v>
      </c>
      <c r="AB12" s="169">
        <v>0</v>
      </c>
      <c r="AC12" s="169">
        <f t="shared" si="0"/>
        <v>0</v>
      </c>
      <c r="AD12" s="169"/>
      <c r="AE12" s="169"/>
      <c r="AF12" s="153"/>
      <c r="AG12" s="153"/>
      <c r="AH12" s="169">
        <v>0</v>
      </c>
      <c r="AI12" s="169">
        <v>0</v>
      </c>
      <c r="AJ12" s="153"/>
      <c r="AK12" s="153"/>
      <c r="AL12" s="246"/>
    </row>
    <row r="13" spans="2:38" s="154" customFormat="1" ht="42.75" x14ac:dyDescent="0.45">
      <c r="B13" s="152" t="s">
        <v>304</v>
      </c>
      <c r="C13" s="191" t="s">
        <v>288</v>
      </c>
      <c r="D13" s="191" t="s">
        <v>771</v>
      </c>
      <c r="E13" s="191" t="s">
        <v>772</v>
      </c>
      <c r="F13" s="191" t="s">
        <v>773</v>
      </c>
      <c r="G13" s="130"/>
      <c r="H13" s="130"/>
      <c r="I13" s="162">
        <v>2012</v>
      </c>
      <c r="J13" s="153"/>
      <c r="K13" s="153"/>
      <c r="L13" s="153"/>
      <c r="M13" s="153"/>
      <c r="N13" s="153"/>
      <c r="O13" s="153"/>
      <c r="P13" s="153"/>
      <c r="Q13" s="153"/>
      <c r="R13" s="153" t="s">
        <v>753</v>
      </c>
      <c r="S13" s="153"/>
      <c r="T13" s="153"/>
      <c r="U13" s="153"/>
      <c r="V13" s="153"/>
      <c r="W13" s="169">
        <v>0</v>
      </c>
      <c r="X13" s="169">
        <v>0</v>
      </c>
      <c r="Y13" s="153"/>
      <c r="Z13" s="153"/>
      <c r="AA13" s="169">
        <v>0</v>
      </c>
      <c r="AB13" s="169">
        <v>0</v>
      </c>
      <c r="AC13" s="169">
        <f t="shared" si="0"/>
        <v>0</v>
      </c>
      <c r="AD13" s="169"/>
      <c r="AE13" s="169"/>
      <c r="AF13" s="153"/>
      <c r="AG13" s="153"/>
      <c r="AH13" s="169">
        <v>0</v>
      </c>
      <c r="AI13" s="169">
        <v>0</v>
      </c>
      <c r="AJ13" s="153"/>
      <c r="AK13" s="153"/>
      <c r="AL13" s="246"/>
    </row>
    <row r="14" spans="2:38" s="154" customFormat="1" ht="28.5" x14ac:dyDescent="0.45">
      <c r="B14" s="152" t="s">
        <v>304</v>
      </c>
      <c r="C14" s="191" t="s">
        <v>293</v>
      </c>
      <c r="D14" s="191" t="s">
        <v>774</v>
      </c>
      <c r="E14" s="191" t="s">
        <v>775</v>
      </c>
      <c r="F14" s="191" t="s">
        <v>776</v>
      </c>
      <c r="G14" s="130"/>
      <c r="H14" s="130"/>
      <c r="I14" s="162">
        <v>2010</v>
      </c>
      <c r="J14" s="153" t="s">
        <v>95</v>
      </c>
      <c r="K14" s="153" t="s">
        <v>95</v>
      </c>
      <c r="L14" s="153" t="s">
        <v>95</v>
      </c>
      <c r="M14" s="153" t="s">
        <v>95</v>
      </c>
      <c r="N14" s="153" t="s">
        <v>755</v>
      </c>
      <c r="O14" s="153" t="s">
        <v>95</v>
      </c>
      <c r="P14" s="153" t="s">
        <v>756</v>
      </c>
      <c r="Q14" s="153" t="s">
        <v>757</v>
      </c>
      <c r="R14" s="153"/>
      <c r="S14" s="153" t="s">
        <v>777</v>
      </c>
      <c r="T14" s="153"/>
      <c r="U14" s="153"/>
      <c r="V14" s="153"/>
      <c r="W14" s="192">
        <v>1083.464145762</v>
      </c>
      <c r="X14" s="169">
        <v>0</v>
      </c>
      <c r="Y14" s="153" t="s">
        <v>95</v>
      </c>
      <c r="Z14" s="193">
        <v>30</v>
      </c>
      <c r="AA14" s="192">
        <v>482.94402251846395</v>
      </c>
      <c r="AB14" s="169">
        <v>0</v>
      </c>
      <c r="AC14" s="169">
        <f t="shared" si="0"/>
        <v>1596.408168280464</v>
      </c>
      <c r="AD14" s="169"/>
      <c r="AE14" s="169"/>
      <c r="AF14" s="153" t="s">
        <v>95</v>
      </c>
      <c r="AG14" s="153">
        <v>20</v>
      </c>
      <c r="AH14" s="192">
        <v>558.36472896441592</v>
      </c>
      <c r="AI14" s="153">
        <v>0</v>
      </c>
      <c r="AJ14" s="153" t="s">
        <v>95</v>
      </c>
      <c r="AK14" s="153">
        <v>20</v>
      </c>
      <c r="AL14" s="246"/>
    </row>
    <row r="15" spans="2:38" s="154" customFormat="1" ht="28.5" x14ac:dyDescent="0.45">
      <c r="B15" s="152" t="s">
        <v>304</v>
      </c>
      <c r="C15" s="191" t="s">
        <v>293</v>
      </c>
      <c r="D15" s="191" t="s">
        <v>778</v>
      </c>
      <c r="E15" s="191" t="s">
        <v>779</v>
      </c>
      <c r="F15" s="191" t="s">
        <v>780</v>
      </c>
      <c r="G15" s="130"/>
      <c r="H15" s="130"/>
      <c r="I15" s="162" t="s">
        <v>95</v>
      </c>
      <c r="J15" s="153"/>
      <c r="K15" s="153"/>
      <c r="L15" s="153"/>
      <c r="M15" s="153"/>
      <c r="N15" s="153"/>
      <c r="O15" s="153"/>
      <c r="P15" s="153"/>
      <c r="Q15" s="153"/>
      <c r="R15" s="153"/>
      <c r="S15" s="153"/>
      <c r="T15" s="153"/>
      <c r="U15" s="153"/>
      <c r="V15" s="153"/>
      <c r="W15" s="169">
        <v>0</v>
      </c>
      <c r="X15" s="169">
        <v>0</v>
      </c>
      <c r="Y15" s="153"/>
      <c r="Z15" s="153"/>
      <c r="AA15" s="169">
        <v>0</v>
      </c>
      <c r="AB15" s="169">
        <v>0</v>
      </c>
      <c r="AC15" s="169">
        <f t="shared" si="0"/>
        <v>0</v>
      </c>
      <c r="AD15" s="169"/>
      <c r="AE15" s="169"/>
      <c r="AF15" s="153"/>
      <c r="AG15" s="153"/>
      <c r="AH15" s="169">
        <v>0</v>
      </c>
      <c r="AI15" s="169">
        <v>0</v>
      </c>
      <c r="AJ15" s="153"/>
      <c r="AK15" s="153"/>
      <c r="AL15" s="246"/>
    </row>
    <row r="16" spans="2:38" s="154" customFormat="1" ht="28.5" x14ac:dyDescent="0.45">
      <c r="B16" s="152" t="s">
        <v>304</v>
      </c>
      <c r="C16" s="191" t="s">
        <v>293</v>
      </c>
      <c r="D16" s="191" t="s">
        <v>781</v>
      </c>
      <c r="E16" s="191" t="s">
        <v>782</v>
      </c>
      <c r="F16" s="191" t="s">
        <v>783</v>
      </c>
      <c r="G16" s="130" t="s">
        <v>313</v>
      </c>
      <c r="H16" s="130"/>
      <c r="I16" s="162">
        <v>2011</v>
      </c>
      <c r="J16" s="153">
        <v>131.86000000000001</v>
      </c>
      <c r="K16" s="153" t="s">
        <v>95</v>
      </c>
      <c r="L16" s="153">
        <v>122.84</v>
      </c>
      <c r="M16" s="153"/>
      <c r="N16" s="153" t="s">
        <v>755</v>
      </c>
      <c r="O16" s="153"/>
      <c r="P16" s="153" t="s">
        <v>756</v>
      </c>
      <c r="Q16" s="153" t="s">
        <v>757</v>
      </c>
      <c r="R16" s="153"/>
      <c r="S16" s="153" t="s">
        <v>784</v>
      </c>
      <c r="T16" s="153"/>
      <c r="U16" s="153">
        <f>L16</f>
        <v>122.84</v>
      </c>
      <c r="V16" s="153"/>
      <c r="W16" s="192">
        <v>835.29799758000013</v>
      </c>
      <c r="X16" s="169">
        <v>0</v>
      </c>
      <c r="Y16" s="153" t="s">
        <v>95</v>
      </c>
      <c r="Z16" s="153">
        <v>502</v>
      </c>
      <c r="AA16" s="169">
        <v>655.99555784200004</v>
      </c>
      <c r="AB16" s="169">
        <v>0</v>
      </c>
      <c r="AC16" s="169">
        <f t="shared" si="0"/>
        <v>1993.2935554220003</v>
      </c>
      <c r="AD16" s="169"/>
      <c r="AE16" s="169"/>
      <c r="AF16" s="153" t="s">
        <v>95</v>
      </c>
      <c r="AG16" s="153">
        <v>500</v>
      </c>
      <c r="AH16" s="169">
        <v>655.99555784200004</v>
      </c>
      <c r="AI16" s="169">
        <v>0</v>
      </c>
      <c r="AJ16" s="153" t="s">
        <v>95</v>
      </c>
      <c r="AK16" s="153">
        <v>500</v>
      </c>
      <c r="AL16" s="245"/>
    </row>
    <row r="17" spans="2:38" s="154" customFormat="1" ht="57" x14ac:dyDescent="0.45">
      <c r="B17" s="152" t="s">
        <v>304</v>
      </c>
      <c r="C17" s="191" t="s">
        <v>293</v>
      </c>
      <c r="D17" s="191" t="s">
        <v>785</v>
      </c>
      <c r="E17" s="191" t="s">
        <v>786</v>
      </c>
      <c r="F17" s="191" t="s">
        <v>787</v>
      </c>
      <c r="G17" s="130"/>
      <c r="H17" s="130"/>
      <c r="I17" s="162">
        <v>2009</v>
      </c>
      <c r="J17" s="153"/>
      <c r="K17" s="153"/>
      <c r="L17" s="153"/>
      <c r="M17" s="153"/>
      <c r="N17" s="153" t="s">
        <v>755</v>
      </c>
      <c r="O17" s="153"/>
      <c r="P17" s="153" t="s">
        <v>756</v>
      </c>
      <c r="Q17" s="153" t="s">
        <v>757</v>
      </c>
      <c r="R17" s="153"/>
      <c r="S17" s="153"/>
      <c r="T17" s="153"/>
      <c r="U17" s="153"/>
      <c r="V17" s="153"/>
      <c r="W17" s="192">
        <f>265.26143236076+342.97535349</f>
        <v>608.23678585076004</v>
      </c>
      <c r="X17" s="192">
        <v>3363.3310699999993</v>
      </c>
      <c r="Y17" s="153" t="s">
        <v>95</v>
      </c>
      <c r="Z17" s="153" t="s">
        <v>95</v>
      </c>
      <c r="AA17" s="192">
        <v>3485.63741764</v>
      </c>
      <c r="AB17" s="192">
        <v>3288.9925395125329</v>
      </c>
      <c r="AC17" s="169">
        <f t="shared" si="0"/>
        <v>10746.197813003291</v>
      </c>
      <c r="AD17" s="169"/>
      <c r="AE17" s="169"/>
      <c r="AF17" s="153" t="s">
        <v>95</v>
      </c>
      <c r="AG17" s="153" t="s">
        <v>95</v>
      </c>
      <c r="AH17" s="192">
        <v>302.57088636000003</v>
      </c>
      <c r="AI17" s="192">
        <v>3617.8917934637866</v>
      </c>
      <c r="AJ17" s="153" t="s">
        <v>95</v>
      </c>
      <c r="AK17" s="153" t="s">
        <v>95</v>
      </c>
      <c r="AL17" s="245" t="s">
        <v>758</v>
      </c>
    </row>
    <row r="18" spans="2:38" s="154" customFormat="1" ht="28.5" x14ac:dyDescent="0.45">
      <c r="B18" s="152" t="s">
        <v>304</v>
      </c>
      <c r="C18" s="191" t="s">
        <v>293</v>
      </c>
      <c r="D18" s="191" t="s">
        <v>788</v>
      </c>
      <c r="E18" s="191" t="s">
        <v>789</v>
      </c>
      <c r="F18" s="191" t="s">
        <v>790</v>
      </c>
      <c r="G18" s="130"/>
      <c r="H18" s="130"/>
      <c r="I18" s="162">
        <v>2012</v>
      </c>
      <c r="J18" s="153"/>
      <c r="K18" s="153"/>
      <c r="L18" s="153"/>
      <c r="M18" s="153"/>
      <c r="N18" s="153"/>
      <c r="O18" s="153"/>
      <c r="P18" s="153"/>
      <c r="Q18" s="153"/>
      <c r="R18" s="153" t="s">
        <v>791</v>
      </c>
      <c r="S18" s="153"/>
      <c r="T18" s="153"/>
      <c r="U18" s="153"/>
      <c r="V18" s="153"/>
      <c r="W18" s="169">
        <v>0</v>
      </c>
      <c r="X18" s="169">
        <v>0</v>
      </c>
      <c r="Y18" s="153"/>
      <c r="Z18" s="153"/>
      <c r="AA18" s="169">
        <v>0</v>
      </c>
      <c r="AB18" s="169">
        <v>0</v>
      </c>
      <c r="AC18" s="169">
        <f t="shared" si="0"/>
        <v>0</v>
      </c>
      <c r="AD18" s="169"/>
      <c r="AE18" s="169"/>
      <c r="AF18" s="153"/>
      <c r="AG18" s="153"/>
      <c r="AH18" s="169">
        <v>0</v>
      </c>
      <c r="AI18" s="169">
        <v>0</v>
      </c>
      <c r="AJ18" s="153"/>
      <c r="AK18" s="153"/>
      <c r="AL18" s="246"/>
    </row>
    <row r="19" spans="2:38" s="154" customFormat="1" ht="28.5" x14ac:dyDescent="0.45">
      <c r="B19" s="152" t="s">
        <v>304</v>
      </c>
      <c r="C19" s="191" t="s">
        <v>293</v>
      </c>
      <c r="D19" s="191" t="s">
        <v>792</v>
      </c>
      <c r="E19" s="191" t="s">
        <v>793</v>
      </c>
      <c r="F19" s="191" t="s">
        <v>794</v>
      </c>
      <c r="G19" s="130"/>
      <c r="H19" s="130"/>
      <c r="I19" s="162">
        <v>2014</v>
      </c>
      <c r="J19" s="153"/>
      <c r="K19" s="153"/>
      <c r="L19" s="153"/>
      <c r="M19" s="153"/>
      <c r="N19" s="153"/>
      <c r="O19" s="153"/>
      <c r="P19" s="153"/>
      <c r="Q19" s="153"/>
      <c r="R19" s="153" t="s">
        <v>786</v>
      </c>
      <c r="S19" s="153"/>
      <c r="T19" s="153"/>
      <c r="U19" s="153"/>
      <c r="V19" s="153"/>
      <c r="W19" s="169">
        <v>0</v>
      </c>
      <c r="X19" s="169">
        <v>0</v>
      </c>
      <c r="Y19" s="153"/>
      <c r="Z19" s="153"/>
      <c r="AA19" s="169">
        <v>0</v>
      </c>
      <c r="AB19" s="169">
        <v>0</v>
      </c>
      <c r="AC19" s="169">
        <f t="shared" si="0"/>
        <v>0</v>
      </c>
      <c r="AD19" s="169"/>
      <c r="AE19" s="169"/>
      <c r="AF19" s="153"/>
      <c r="AG19" s="153"/>
      <c r="AH19" s="169">
        <v>0</v>
      </c>
      <c r="AI19" s="169">
        <v>0</v>
      </c>
      <c r="AJ19" s="153"/>
      <c r="AK19" s="153"/>
      <c r="AL19" s="246"/>
    </row>
    <row r="20" spans="2:38" s="154" customFormat="1" ht="57" x14ac:dyDescent="0.45">
      <c r="B20" s="152" t="s">
        <v>304</v>
      </c>
      <c r="C20" s="191" t="s">
        <v>293</v>
      </c>
      <c r="D20" s="191" t="s">
        <v>795</v>
      </c>
      <c r="E20" s="191" t="s">
        <v>796</v>
      </c>
      <c r="F20" s="191" t="s">
        <v>797</v>
      </c>
      <c r="G20" s="130"/>
      <c r="H20" s="130"/>
      <c r="I20" s="162">
        <v>2012</v>
      </c>
      <c r="J20" s="153"/>
      <c r="K20" s="153"/>
      <c r="L20" s="153"/>
      <c r="M20" s="153"/>
      <c r="N20" s="153" t="s">
        <v>798</v>
      </c>
      <c r="O20" s="153" t="s">
        <v>799</v>
      </c>
      <c r="P20" s="153" t="s">
        <v>756</v>
      </c>
      <c r="Q20" s="153" t="s">
        <v>757</v>
      </c>
      <c r="R20" s="153"/>
      <c r="S20" s="153"/>
      <c r="T20" s="153"/>
      <c r="U20" s="153"/>
      <c r="V20" s="153"/>
      <c r="W20" s="169">
        <v>0</v>
      </c>
      <c r="X20" s="169">
        <v>0</v>
      </c>
      <c r="Y20" s="153" t="s">
        <v>95</v>
      </c>
      <c r="Z20" s="153" t="s">
        <v>95</v>
      </c>
      <c r="AA20" s="169">
        <v>0</v>
      </c>
      <c r="AB20" s="169">
        <v>0</v>
      </c>
      <c r="AC20" s="169">
        <f t="shared" si="0"/>
        <v>0</v>
      </c>
      <c r="AD20" s="169"/>
      <c r="AE20" s="169"/>
      <c r="AF20" s="153" t="s">
        <v>95</v>
      </c>
      <c r="AG20" s="153" t="s">
        <v>95</v>
      </c>
      <c r="AH20" s="192">
        <v>7310.0000000000009</v>
      </c>
      <c r="AI20" s="169">
        <v>0</v>
      </c>
      <c r="AJ20" s="153" t="s">
        <v>95</v>
      </c>
      <c r="AK20" s="153" t="s">
        <v>95</v>
      </c>
      <c r="AL20" s="245" t="s">
        <v>758</v>
      </c>
    </row>
    <row r="21" spans="2:38" s="154" customFormat="1" ht="28.5" x14ac:dyDescent="0.45">
      <c r="B21" s="152" t="s">
        <v>304</v>
      </c>
      <c r="C21" s="191" t="s">
        <v>293</v>
      </c>
      <c r="D21" s="191" t="s">
        <v>800</v>
      </c>
      <c r="E21" s="191" t="s">
        <v>801</v>
      </c>
      <c r="F21" s="191" t="s">
        <v>802</v>
      </c>
      <c r="G21" s="130" t="s">
        <v>298</v>
      </c>
      <c r="H21" s="130" t="s">
        <v>294</v>
      </c>
      <c r="I21" s="162">
        <v>2008</v>
      </c>
      <c r="J21" s="153"/>
      <c r="K21" s="153"/>
      <c r="L21" s="153"/>
      <c r="M21" s="153"/>
      <c r="N21" s="153"/>
      <c r="O21" s="153"/>
      <c r="P21" s="153"/>
      <c r="Q21" s="153"/>
      <c r="R21" s="153" t="s">
        <v>803</v>
      </c>
      <c r="S21" s="153"/>
      <c r="T21" s="153"/>
      <c r="U21" s="153"/>
      <c r="V21" s="153"/>
      <c r="W21" s="169">
        <v>0</v>
      </c>
      <c r="X21" s="169">
        <v>0</v>
      </c>
      <c r="Y21" s="153"/>
      <c r="Z21" s="153"/>
      <c r="AA21" s="169">
        <v>0</v>
      </c>
      <c r="AB21" s="169">
        <v>0</v>
      </c>
      <c r="AC21" s="169">
        <f t="shared" si="0"/>
        <v>0</v>
      </c>
      <c r="AD21" s="169"/>
      <c r="AE21" s="169"/>
      <c r="AF21" s="153"/>
      <c r="AG21" s="153"/>
      <c r="AH21" s="169">
        <v>0</v>
      </c>
      <c r="AI21" s="169">
        <v>0</v>
      </c>
      <c r="AJ21" s="153"/>
      <c r="AK21" s="153"/>
      <c r="AL21" s="246"/>
    </row>
    <row r="22" spans="2:38" s="154" customFormat="1" ht="28.5" x14ac:dyDescent="0.45">
      <c r="B22" s="152" t="s">
        <v>304</v>
      </c>
      <c r="C22" s="191" t="s">
        <v>293</v>
      </c>
      <c r="D22" s="191" t="s">
        <v>800</v>
      </c>
      <c r="E22" s="191" t="s">
        <v>804</v>
      </c>
      <c r="F22" s="191" t="s">
        <v>805</v>
      </c>
      <c r="G22" s="130"/>
      <c r="H22" s="130"/>
      <c r="I22" s="162">
        <v>2009</v>
      </c>
      <c r="J22" s="153"/>
      <c r="K22" s="153"/>
      <c r="L22" s="153"/>
      <c r="M22" s="153"/>
      <c r="N22" s="153"/>
      <c r="O22" s="153"/>
      <c r="P22" s="153"/>
      <c r="Q22" s="153"/>
      <c r="R22" s="153" t="s">
        <v>786</v>
      </c>
      <c r="S22" s="153"/>
      <c r="T22" s="153"/>
      <c r="U22" s="153"/>
      <c r="V22" s="153"/>
      <c r="W22" s="169">
        <v>0</v>
      </c>
      <c r="X22" s="169">
        <v>0</v>
      </c>
      <c r="Y22" s="153"/>
      <c r="Z22" s="153"/>
      <c r="AA22" s="169">
        <v>0</v>
      </c>
      <c r="AB22" s="169">
        <v>0</v>
      </c>
      <c r="AC22" s="169">
        <f t="shared" si="0"/>
        <v>0</v>
      </c>
      <c r="AD22" s="169"/>
      <c r="AE22" s="169"/>
      <c r="AF22" s="153"/>
      <c r="AG22" s="153"/>
      <c r="AH22" s="169">
        <v>0</v>
      </c>
      <c r="AI22" s="169">
        <v>0</v>
      </c>
      <c r="AJ22" s="153"/>
      <c r="AK22" s="153"/>
      <c r="AL22" s="246"/>
    </row>
    <row r="23" spans="2:38" s="154" customFormat="1" ht="28.5" x14ac:dyDescent="0.45">
      <c r="B23" s="152" t="s">
        <v>300</v>
      </c>
      <c r="C23" s="191" t="s">
        <v>297</v>
      </c>
      <c r="D23" s="191" t="s">
        <v>806</v>
      </c>
      <c r="E23" s="191" t="s">
        <v>807</v>
      </c>
      <c r="F23" s="191" t="s">
        <v>808</v>
      </c>
      <c r="G23" s="130" t="s">
        <v>298</v>
      </c>
      <c r="H23" s="130"/>
      <c r="I23" s="162">
        <v>2016</v>
      </c>
      <c r="J23" s="153"/>
      <c r="K23" s="153"/>
      <c r="L23" s="153">
        <v>408.85</v>
      </c>
      <c r="M23" s="153">
        <v>932.76</v>
      </c>
      <c r="N23" s="153" t="s">
        <v>755</v>
      </c>
      <c r="O23" s="153"/>
      <c r="P23" s="153" t="s">
        <v>756</v>
      </c>
      <c r="Q23" s="153" t="s">
        <v>809</v>
      </c>
      <c r="R23" s="153"/>
      <c r="S23" s="153" t="s">
        <v>810</v>
      </c>
      <c r="T23" s="153"/>
      <c r="U23" s="153">
        <f>SUM(L23:M23)/2</f>
        <v>670.80500000000006</v>
      </c>
      <c r="V23" s="153"/>
      <c r="W23" s="192">
        <v>992.18232999999998</v>
      </c>
      <c r="X23" s="169">
        <v>0</v>
      </c>
      <c r="Y23" s="153" t="s">
        <v>95</v>
      </c>
      <c r="Z23" s="153">
        <v>30</v>
      </c>
      <c r="AA23" s="169">
        <v>1586.511</v>
      </c>
      <c r="AB23" s="169">
        <v>0</v>
      </c>
      <c r="AC23" s="169">
        <f t="shared" si="0"/>
        <v>2608.6933300000001</v>
      </c>
      <c r="AD23" s="169">
        <f>SUM(AC23:AC50)</f>
        <v>767464.99878567329</v>
      </c>
      <c r="AE23" s="169"/>
      <c r="AF23" s="153" t="s">
        <v>95</v>
      </c>
      <c r="AG23" s="153">
        <v>32</v>
      </c>
      <c r="AH23" s="169">
        <v>1791.2329999999999</v>
      </c>
      <c r="AI23" s="169">
        <v>0</v>
      </c>
      <c r="AJ23" s="153" t="s">
        <v>95</v>
      </c>
      <c r="AK23" s="153">
        <v>40</v>
      </c>
      <c r="AL23" s="245"/>
    </row>
    <row r="24" spans="2:38" s="154" customFormat="1" ht="28.5" x14ac:dyDescent="0.45">
      <c r="B24" s="152" t="s">
        <v>300</v>
      </c>
      <c r="C24" s="191" t="s">
        <v>297</v>
      </c>
      <c r="D24" s="191" t="s">
        <v>811</v>
      </c>
      <c r="E24" s="191" t="s">
        <v>812</v>
      </c>
      <c r="F24" s="191"/>
      <c r="G24" s="130"/>
      <c r="H24" s="130"/>
      <c r="I24" s="162">
        <v>1997</v>
      </c>
      <c r="J24" s="153"/>
      <c r="K24" s="153"/>
      <c r="L24" s="153"/>
      <c r="M24" s="153"/>
      <c r="N24" s="153"/>
      <c r="O24" s="153"/>
      <c r="P24" s="153"/>
      <c r="Q24" s="153"/>
      <c r="R24" s="153" t="s">
        <v>813</v>
      </c>
      <c r="S24" s="153"/>
      <c r="T24" s="153"/>
      <c r="U24" s="153">
        <f t="shared" ref="U24:U87" si="1">SUM(L24:M24)/2</f>
        <v>0</v>
      </c>
      <c r="V24" s="153"/>
      <c r="W24" s="169">
        <v>0</v>
      </c>
      <c r="X24" s="169">
        <v>0</v>
      </c>
      <c r="Y24" s="153"/>
      <c r="Z24" s="153"/>
      <c r="AA24" s="169">
        <v>0</v>
      </c>
      <c r="AB24" s="169">
        <v>0</v>
      </c>
      <c r="AC24" s="169">
        <f t="shared" si="0"/>
        <v>0</v>
      </c>
      <c r="AD24" s="169"/>
      <c r="AE24" s="169"/>
      <c r="AF24" s="153"/>
      <c r="AG24" s="153"/>
      <c r="AH24" s="169">
        <v>0</v>
      </c>
      <c r="AI24" s="169">
        <v>0</v>
      </c>
      <c r="AJ24" s="153"/>
      <c r="AK24" s="153"/>
      <c r="AL24" s="246"/>
    </row>
    <row r="25" spans="2:38" s="154" customFormat="1" ht="28.5" x14ac:dyDescent="0.45">
      <c r="B25" s="152" t="s">
        <v>300</v>
      </c>
      <c r="C25" s="191" t="s">
        <v>297</v>
      </c>
      <c r="D25" s="191" t="s">
        <v>814</v>
      </c>
      <c r="E25" s="191" t="s">
        <v>815</v>
      </c>
      <c r="F25" s="191" t="s">
        <v>816</v>
      </c>
      <c r="G25" s="130" t="s">
        <v>294</v>
      </c>
      <c r="H25" s="130" t="s">
        <v>298</v>
      </c>
      <c r="I25" s="162">
        <v>2020</v>
      </c>
      <c r="J25" s="153"/>
      <c r="K25" s="153"/>
      <c r="L25" s="153">
        <v>42.77</v>
      </c>
      <c r="M25" s="153">
        <v>76.73</v>
      </c>
      <c r="N25" s="153" t="s">
        <v>798</v>
      </c>
      <c r="O25" s="153" t="s">
        <v>799</v>
      </c>
      <c r="P25" s="153" t="s">
        <v>756</v>
      </c>
      <c r="Q25" s="153" t="s">
        <v>809</v>
      </c>
      <c r="R25" s="153"/>
      <c r="S25" s="153"/>
      <c r="T25" s="153"/>
      <c r="U25" s="153">
        <f t="shared" si="1"/>
        <v>59.75</v>
      </c>
      <c r="V25" s="153"/>
      <c r="W25" s="192">
        <v>1797.6911200000002</v>
      </c>
      <c r="X25" s="169">
        <v>0</v>
      </c>
      <c r="Y25" s="193">
        <v>1.9</v>
      </c>
      <c r="Z25" s="153" t="s">
        <v>95</v>
      </c>
      <c r="AA25" s="192">
        <v>55000</v>
      </c>
      <c r="AB25" s="192">
        <v>1500</v>
      </c>
      <c r="AC25" s="169">
        <f t="shared" si="0"/>
        <v>58299.591119999997</v>
      </c>
      <c r="AD25" s="169"/>
      <c r="AE25" s="169"/>
      <c r="AF25" s="193">
        <v>20</v>
      </c>
      <c r="AG25" s="153" t="s">
        <v>95</v>
      </c>
      <c r="AH25" s="192">
        <v>96000</v>
      </c>
      <c r="AI25" s="192">
        <v>2500</v>
      </c>
      <c r="AJ25" s="193">
        <v>60</v>
      </c>
      <c r="AK25" s="153" t="s">
        <v>95</v>
      </c>
      <c r="AL25" s="245"/>
    </row>
    <row r="26" spans="2:38" s="154" customFormat="1" ht="28.5" x14ac:dyDescent="0.45">
      <c r="B26" s="152" t="s">
        <v>300</v>
      </c>
      <c r="C26" s="191" t="s">
        <v>297</v>
      </c>
      <c r="D26" s="191" t="s">
        <v>817</v>
      </c>
      <c r="E26" s="191" t="s">
        <v>818</v>
      </c>
      <c r="F26" s="191"/>
      <c r="G26" s="130"/>
      <c r="H26" s="130"/>
      <c r="I26" s="162">
        <v>1997</v>
      </c>
      <c r="J26" s="153"/>
      <c r="K26" s="153"/>
      <c r="L26" s="153"/>
      <c r="M26" s="153"/>
      <c r="N26" s="153"/>
      <c r="O26" s="153"/>
      <c r="P26" s="153"/>
      <c r="Q26" s="153"/>
      <c r="R26" s="153" t="s">
        <v>819</v>
      </c>
      <c r="S26" s="153"/>
      <c r="T26" s="153"/>
      <c r="U26" s="153">
        <f t="shared" si="1"/>
        <v>0</v>
      </c>
      <c r="V26" s="153"/>
      <c r="W26" s="169">
        <v>0</v>
      </c>
      <c r="X26" s="169">
        <v>0</v>
      </c>
      <c r="Y26" s="153"/>
      <c r="Z26" s="153"/>
      <c r="AA26" s="169">
        <v>0</v>
      </c>
      <c r="AB26" s="169">
        <v>0</v>
      </c>
      <c r="AC26" s="169">
        <f t="shared" si="0"/>
        <v>0</v>
      </c>
      <c r="AD26" s="169"/>
      <c r="AE26" s="169"/>
      <c r="AF26" s="153"/>
      <c r="AG26" s="153"/>
      <c r="AH26" s="169">
        <v>0</v>
      </c>
      <c r="AI26" s="169">
        <v>0</v>
      </c>
      <c r="AJ26" s="153"/>
      <c r="AK26" s="153"/>
      <c r="AL26" s="246"/>
    </row>
    <row r="27" spans="2:38" s="154" customFormat="1" ht="28.5" x14ac:dyDescent="0.45">
      <c r="B27" s="152" t="s">
        <v>300</v>
      </c>
      <c r="C27" s="191" t="s">
        <v>297</v>
      </c>
      <c r="D27" s="191" t="s">
        <v>820</v>
      </c>
      <c r="E27" s="191" t="s">
        <v>821</v>
      </c>
      <c r="F27" s="191" t="s">
        <v>822</v>
      </c>
      <c r="G27" s="130"/>
      <c r="H27" s="130"/>
      <c r="I27" s="162">
        <v>1997</v>
      </c>
      <c r="J27" s="153"/>
      <c r="K27" s="153"/>
      <c r="L27" s="153"/>
      <c r="M27" s="153"/>
      <c r="N27" s="153"/>
      <c r="O27" s="153"/>
      <c r="P27" s="153"/>
      <c r="Q27" s="153"/>
      <c r="R27" s="153" t="s">
        <v>819</v>
      </c>
      <c r="S27" s="153"/>
      <c r="T27" s="153"/>
      <c r="U27" s="153">
        <f t="shared" si="1"/>
        <v>0</v>
      </c>
      <c r="V27" s="153"/>
      <c r="W27" s="169">
        <v>0</v>
      </c>
      <c r="X27" s="169">
        <v>0</v>
      </c>
      <c r="Y27" s="153"/>
      <c r="Z27" s="153"/>
      <c r="AA27" s="169">
        <v>0</v>
      </c>
      <c r="AB27" s="169"/>
      <c r="AC27" s="169">
        <f t="shared" si="0"/>
        <v>0</v>
      </c>
      <c r="AD27" s="169"/>
      <c r="AE27" s="169"/>
      <c r="AF27" s="153"/>
      <c r="AG27" s="153"/>
      <c r="AH27" s="169">
        <v>0</v>
      </c>
      <c r="AI27" s="169"/>
      <c r="AJ27" s="153"/>
      <c r="AK27" s="153"/>
      <c r="AL27" s="246"/>
    </row>
    <row r="28" spans="2:38" s="154" customFormat="1" ht="42.75" x14ac:dyDescent="0.45">
      <c r="B28" s="152" t="s">
        <v>300</v>
      </c>
      <c r="C28" s="191" t="s">
        <v>297</v>
      </c>
      <c r="D28" s="191" t="s">
        <v>823</v>
      </c>
      <c r="E28" s="191" t="s">
        <v>824</v>
      </c>
      <c r="F28" s="191" t="s">
        <v>825</v>
      </c>
      <c r="G28" s="130"/>
      <c r="H28" s="130"/>
      <c r="I28" s="162">
        <v>1997</v>
      </c>
      <c r="J28" s="153"/>
      <c r="K28" s="153"/>
      <c r="L28" s="153"/>
      <c r="M28" s="153"/>
      <c r="N28" s="153"/>
      <c r="O28" s="153"/>
      <c r="P28" s="153"/>
      <c r="Q28" s="153"/>
      <c r="R28" s="153" t="s">
        <v>819</v>
      </c>
      <c r="S28" s="153"/>
      <c r="T28" s="153"/>
      <c r="U28" s="153">
        <f t="shared" si="1"/>
        <v>0</v>
      </c>
      <c r="V28" s="153"/>
      <c r="W28" s="169"/>
      <c r="X28" s="169"/>
      <c r="Y28" s="153"/>
      <c r="Z28" s="153"/>
      <c r="AA28" s="169"/>
      <c r="AB28" s="169"/>
      <c r="AC28" s="169">
        <f t="shared" si="0"/>
        <v>0</v>
      </c>
      <c r="AD28" s="169"/>
      <c r="AE28" s="169"/>
      <c r="AF28" s="153"/>
      <c r="AG28" s="153"/>
      <c r="AH28" s="169"/>
      <c r="AI28" s="169"/>
      <c r="AJ28" s="153"/>
      <c r="AK28" s="153"/>
      <c r="AL28" s="245" t="s">
        <v>826</v>
      </c>
    </row>
    <row r="29" spans="2:38" s="154" customFormat="1" ht="28.5" x14ac:dyDescent="0.45">
      <c r="B29" s="152" t="s">
        <v>300</v>
      </c>
      <c r="C29" s="191" t="s">
        <v>297</v>
      </c>
      <c r="D29" s="191" t="s">
        <v>827</v>
      </c>
      <c r="E29" s="191" t="s">
        <v>828</v>
      </c>
      <c r="F29" s="191" t="s">
        <v>829</v>
      </c>
      <c r="G29" s="130" t="s">
        <v>298</v>
      </c>
      <c r="H29" s="130"/>
      <c r="I29" s="162">
        <v>2019</v>
      </c>
      <c r="J29" s="153"/>
      <c r="K29" s="153"/>
      <c r="L29" s="153">
        <v>274.83</v>
      </c>
      <c r="M29" s="153">
        <v>1417.2</v>
      </c>
      <c r="N29" s="153" t="s">
        <v>798</v>
      </c>
      <c r="O29" s="153" t="s">
        <v>799</v>
      </c>
      <c r="P29" s="153" t="s">
        <v>756</v>
      </c>
      <c r="Q29" s="153" t="s">
        <v>809</v>
      </c>
      <c r="R29" s="153"/>
      <c r="S29" s="153" t="s">
        <v>830</v>
      </c>
      <c r="T29" s="153"/>
      <c r="U29" s="153">
        <f t="shared" si="1"/>
        <v>846.01499999999999</v>
      </c>
      <c r="V29" s="153"/>
      <c r="W29" s="192">
        <v>6520.6375399999997</v>
      </c>
      <c r="X29" s="169">
        <v>0</v>
      </c>
      <c r="Y29" s="153" t="s">
        <v>95</v>
      </c>
      <c r="Z29" s="153">
        <v>3179</v>
      </c>
      <c r="AA29" s="192">
        <v>10177.77</v>
      </c>
      <c r="AB29" s="169">
        <v>0</v>
      </c>
      <c r="AC29" s="169">
        <f t="shared" si="0"/>
        <v>19877.40754</v>
      </c>
      <c r="AD29" s="169"/>
      <c r="AE29" s="169"/>
      <c r="AF29" s="153" t="s">
        <v>95</v>
      </c>
      <c r="AG29" s="153">
        <v>3970</v>
      </c>
      <c r="AH29" s="192">
        <v>3078.9372000000008</v>
      </c>
      <c r="AI29" s="169">
        <v>0</v>
      </c>
      <c r="AJ29" s="153" t="s">
        <v>95</v>
      </c>
      <c r="AK29" s="193">
        <v>906</v>
      </c>
      <c r="AL29" s="245"/>
    </row>
    <row r="30" spans="2:38" s="154" customFormat="1" ht="28.5" x14ac:dyDescent="0.45">
      <c r="B30" s="152" t="s">
        <v>300</v>
      </c>
      <c r="C30" s="191" t="s">
        <v>297</v>
      </c>
      <c r="D30" s="191" t="s">
        <v>831</v>
      </c>
      <c r="E30" s="191" t="s">
        <v>832</v>
      </c>
      <c r="F30" s="191" t="s">
        <v>833</v>
      </c>
      <c r="G30" s="130" t="s">
        <v>313</v>
      </c>
      <c r="H30" s="130"/>
      <c r="I30" s="162">
        <v>2019</v>
      </c>
      <c r="J30" s="153">
        <v>610.11</v>
      </c>
      <c r="K30" s="153"/>
      <c r="L30" s="153">
        <v>473.43</v>
      </c>
      <c r="M30" s="153">
        <v>1159.8599999999999</v>
      </c>
      <c r="N30" s="153" t="s">
        <v>798</v>
      </c>
      <c r="O30" s="153" t="s">
        <v>799</v>
      </c>
      <c r="P30" s="153" t="s">
        <v>756</v>
      </c>
      <c r="Q30" s="153" t="s">
        <v>809</v>
      </c>
      <c r="R30" s="153"/>
      <c r="S30" s="153" t="s">
        <v>834</v>
      </c>
      <c r="T30" s="153"/>
      <c r="U30" s="153">
        <f t="shared" si="1"/>
        <v>816.64499999999998</v>
      </c>
      <c r="V30" s="153">
        <f>(U30*AC30+U31*AC31)/AD30</f>
        <v>202.63221189390381</v>
      </c>
      <c r="W30" s="192">
        <v>5111.3502931750008</v>
      </c>
      <c r="X30" s="169">
        <v>0</v>
      </c>
      <c r="Y30" s="153" t="s">
        <v>95</v>
      </c>
      <c r="Z30" s="193">
        <v>23</v>
      </c>
      <c r="AA30" s="192">
        <v>2271.6557999999995</v>
      </c>
      <c r="AB30" s="169">
        <v>0</v>
      </c>
      <c r="AC30" s="169">
        <f t="shared" si="0"/>
        <v>7406.0060931750004</v>
      </c>
      <c r="AD30" s="169">
        <f>AC30+AC31</f>
        <v>31692.102716396803</v>
      </c>
      <c r="AE30" s="169"/>
      <c r="AF30" s="153" t="s">
        <v>95</v>
      </c>
      <c r="AG30" s="193">
        <v>10</v>
      </c>
      <c r="AH30" s="192">
        <v>1541.66</v>
      </c>
      <c r="AI30" s="169">
        <v>0</v>
      </c>
      <c r="AJ30" s="153" t="s">
        <v>95</v>
      </c>
      <c r="AK30" s="193">
        <v>10</v>
      </c>
      <c r="AL30" s="245"/>
    </row>
    <row r="31" spans="2:38" s="154" customFormat="1" ht="28.5" x14ac:dyDescent="0.45">
      <c r="B31" s="152" t="s">
        <v>300</v>
      </c>
      <c r="C31" s="191" t="s">
        <v>297</v>
      </c>
      <c r="D31" s="191" t="s">
        <v>835</v>
      </c>
      <c r="E31" s="191" t="s">
        <v>836</v>
      </c>
      <c r="F31" s="191" t="s">
        <v>837</v>
      </c>
      <c r="G31" s="130" t="s">
        <v>313</v>
      </c>
      <c r="H31" s="130"/>
      <c r="I31" s="162">
        <v>2019</v>
      </c>
      <c r="J31" s="153"/>
      <c r="K31" s="153"/>
      <c r="L31" s="153">
        <v>30.78</v>
      </c>
      <c r="M31" s="153"/>
      <c r="N31" s="153" t="s">
        <v>798</v>
      </c>
      <c r="O31" s="153" t="s">
        <v>799</v>
      </c>
      <c r="P31" s="153" t="s">
        <v>756</v>
      </c>
      <c r="Q31" s="153" t="s">
        <v>757</v>
      </c>
      <c r="R31" s="153"/>
      <c r="S31" s="153" t="s">
        <v>838</v>
      </c>
      <c r="T31" s="153"/>
      <c r="U31" s="153">
        <f t="shared" si="1"/>
        <v>15.39</v>
      </c>
      <c r="V31" s="153"/>
      <c r="W31" s="192">
        <v>3542.0419458250008</v>
      </c>
      <c r="X31" s="192">
        <v>370.54159000000004</v>
      </c>
      <c r="Y31" s="153" t="s">
        <v>95</v>
      </c>
      <c r="Z31" s="193">
        <v>4</v>
      </c>
      <c r="AA31" s="192">
        <v>18942.6369673968</v>
      </c>
      <c r="AB31" s="192">
        <v>1426.8761199999999</v>
      </c>
      <c r="AC31" s="169">
        <f t="shared" si="0"/>
        <v>24286.096623221802</v>
      </c>
      <c r="AD31" s="169"/>
      <c r="AE31" s="169"/>
      <c r="AF31" s="153" t="s">
        <v>95</v>
      </c>
      <c r="AG31" s="193">
        <v>2</v>
      </c>
      <c r="AH31" s="192">
        <v>12912.486216610399</v>
      </c>
      <c r="AI31" s="192">
        <v>1426.8761199999999</v>
      </c>
      <c r="AJ31" s="153" t="s">
        <v>95</v>
      </c>
      <c r="AK31" s="153">
        <v>1</v>
      </c>
      <c r="AL31" s="245"/>
    </row>
    <row r="32" spans="2:38" s="154" customFormat="1" ht="28.5" x14ac:dyDescent="0.45">
      <c r="B32" s="152" t="s">
        <v>300</v>
      </c>
      <c r="C32" s="191" t="s">
        <v>297</v>
      </c>
      <c r="D32" s="191" t="s">
        <v>839</v>
      </c>
      <c r="E32" s="191" t="s">
        <v>840</v>
      </c>
      <c r="F32" s="191" t="s">
        <v>841</v>
      </c>
      <c r="G32" s="130" t="s">
        <v>313</v>
      </c>
      <c r="H32" s="130"/>
      <c r="I32" s="162">
        <v>2011</v>
      </c>
      <c r="J32" s="153"/>
      <c r="K32" s="153"/>
      <c r="L32" s="153"/>
      <c r="M32" s="153">
        <v>281.08999999999997</v>
      </c>
      <c r="N32" s="153" t="s">
        <v>798</v>
      </c>
      <c r="O32" s="153" t="s">
        <v>799</v>
      </c>
      <c r="P32" s="153" t="s">
        <v>756</v>
      </c>
      <c r="Q32" s="153" t="s">
        <v>757</v>
      </c>
      <c r="R32" s="153"/>
      <c r="S32" s="153" t="s">
        <v>842</v>
      </c>
      <c r="T32" s="153"/>
      <c r="U32" s="153">
        <f t="shared" si="1"/>
        <v>140.54499999999999</v>
      </c>
      <c r="V32" s="153"/>
      <c r="W32" s="192">
        <v>9119.2681451300068</v>
      </c>
      <c r="X32" s="169">
        <v>0</v>
      </c>
      <c r="Y32" s="153" t="s">
        <v>95</v>
      </c>
      <c r="Z32" s="193">
        <v>6</v>
      </c>
      <c r="AA32" s="192">
        <v>11092.422</v>
      </c>
      <c r="AB32" s="169">
        <v>0</v>
      </c>
      <c r="AC32" s="169">
        <f t="shared" si="0"/>
        <v>20217.690145130007</v>
      </c>
      <c r="AD32" s="169"/>
      <c r="AE32" s="169"/>
      <c r="AF32" s="153" t="s">
        <v>95</v>
      </c>
      <c r="AG32" s="153">
        <v>8</v>
      </c>
      <c r="AH32" s="169">
        <v>10953.281999999999</v>
      </c>
      <c r="AI32" s="169">
        <v>0</v>
      </c>
      <c r="AJ32" s="153" t="s">
        <v>95</v>
      </c>
      <c r="AK32" s="193">
        <v>8</v>
      </c>
      <c r="AL32" s="245"/>
    </row>
    <row r="33" spans="2:38" s="154" customFormat="1" ht="28.5" x14ac:dyDescent="0.45">
      <c r="B33" s="152" t="s">
        <v>300</v>
      </c>
      <c r="C33" s="191" t="s">
        <v>297</v>
      </c>
      <c r="D33" s="191" t="s">
        <v>843</v>
      </c>
      <c r="E33" s="191" t="s">
        <v>844</v>
      </c>
      <c r="F33" s="191" t="s">
        <v>845</v>
      </c>
      <c r="G33" s="130" t="s">
        <v>298</v>
      </c>
      <c r="H33" s="130"/>
      <c r="I33" s="162">
        <v>2019</v>
      </c>
      <c r="J33" s="153" t="s">
        <v>95</v>
      </c>
      <c r="K33" s="153" t="s">
        <v>95</v>
      </c>
      <c r="L33" s="153">
        <v>43.25</v>
      </c>
      <c r="M33" s="153">
        <v>108.44</v>
      </c>
      <c r="N33" s="153" t="s">
        <v>798</v>
      </c>
      <c r="O33" s="153" t="s">
        <v>799</v>
      </c>
      <c r="P33" s="153" t="s">
        <v>756</v>
      </c>
      <c r="Q33" s="153" t="s">
        <v>809</v>
      </c>
      <c r="R33" s="153"/>
      <c r="S33" s="153" t="s">
        <v>846</v>
      </c>
      <c r="T33" s="153"/>
      <c r="U33" s="153">
        <f t="shared" si="1"/>
        <v>75.844999999999999</v>
      </c>
      <c r="V33" s="153"/>
      <c r="W33" s="169">
        <v>0</v>
      </c>
      <c r="X33" s="169">
        <f>3298.58102</f>
        <v>3298.5810200000001</v>
      </c>
      <c r="Y33" s="153" t="s">
        <v>95</v>
      </c>
      <c r="Z33" s="193">
        <v>2061</v>
      </c>
      <c r="AA33" s="169">
        <v>0</v>
      </c>
      <c r="AB33" s="192">
        <f>3298.58102+1022.18839+1022.18839</f>
        <v>5342.9578000000001</v>
      </c>
      <c r="AC33" s="169">
        <f t="shared" si="0"/>
        <v>10702.53882</v>
      </c>
      <c r="AD33" s="169"/>
      <c r="AE33" s="169"/>
      <c r="AF33" s="193" t="s">
        <v>95</v>
      </c>
      <c r="AG33" s="153">
        <v>2250</v>
      </c>
      <c r="AH33" s="169">
        <v>0</v>
      </c>
      <c r="AI33" s="192">
        <f>3298.58102+1022.18839</f>
        <v>4320.7694099999999</v>
      </c>
      <c r="AJ33" s="153" t="s">
        <v>95</v>
      </c>
      <c r="AK33" s="153">
        <v>1650</v>
      </c>
      <c r="AL33" s="245"/>
    </row>
    <row r="34" spans="2:38" s="154" customFormat="1" ht="28.5" x14ac:dyDescent="0.45">
      <c r="B34" s="152" t="s">
        <v>300</v>
      </c>
      <c r="C34" s="191" t="s">
        <v>297</v>
      </c>
      <c r="D34" s="191" t="s">
        <v>847</v>
      </c>
      <c r="E34" s="191" t="s">
        <v>848</v>
      </c>
      <c r="F34" s="191" t="s">
        <v>849</v>
      </c>
      <c r="G34" s="130" t="s">
        <v>313</v>
      </c>
      <c r="H34" s="130"/>
      <c r="I34" s="162">
        <v>2020</v>
      </c>
      <c r="J34" s="153">
        <v>36.549999999999997</v>
      </c>
      <c r="K34" s="153"/>
      <c r="L34" s="153">
        <v>36.549999999999997</v>
      </c>
      <c r="M34" s="153">
        <v>73.11</v>
      </c>
      <c r="N34" s="153" t="s">
        <v>798</v>
      </c>
      <c r="O34" s="153" t="s">
        <v>799</v>
      </c>
      <c r="P34" s="153" t="s">
        <v>756</v>
      </c>
      <c r="Q34" s="153" t="s">
        <v>757</v>
      </c>
      <c r="R34" s="153"/>
      <c r="S34" s="153" t="s">
        <v>850</v>
      </c>
      <c r="T34" s="153"/>
      <c r="U34" s="153">
        <f t="shared" si="1"/>
        <v>54.83</v>
      </c>
      <c r="V34" s="153"/>
      <c r="W34" s="169">
        <v>0</v>
      </c>
      <c r="X34" s="169">
        <v>5075.891990000001</v>
      </c>
      <c r="Y34" s="153" t="s">
        <v>95</v>
      </c>
      <c r="Z34" s="193">
        <v>1420</v>
      </c>
      <c r="AA34" s="169">
        <v>0</v>
      </c>
      <c r="AB34" s="192">
        <v>7900</v>
      </c>
      <c r="AC34" s="169">
        <f t="shared" si="0"/>
        <v>14395.89199</v>
      </c>
      <c r="AD34" s="169"/>
      <c r="AE34" s="169"/>
      <c r="AF34" s="153" t="s">
        <v>95</v>
      </c>
      <c r="AG34" s="193">
        <v>2000</v>
      </c>
      <c r="AH34" s="169">
        <v>0</v>
      </c>
      <c r="AI34" s="192">
        <v>7900</v>
      </c>
      <c r="AJ34" s="153" t="s">
        <v>95</v>
      </c>
      <c r="AK34" s="193">
        <v>2000</v>
      </c>
      <c r="AL34" s="245"/>
    </row>
    <row r="35" spans="2:38" s="154" customFormat="1" ht="28.5" x14ac:dyDescent="0.45">
      <c r="B35" s="152" t="s">
        <v>300</v>
      </c>
      <c r="C35" s="191" t="s">
        <v>297</v>
      </c>
      <c r="D35" s="191" t="s">
        <v>851</v>
      </c>
      <c r="E35" s="191" t="s">
        <v>852</v>
      </c>
      <c r="F35" s="191" t="s">
        <v>853</v>
      </c>
      <c r="G35" s="130" t="s">
        <v>313</v>
      </c>
      <c r="H35" s="130"/>
      <c r="I35" s="162">
        <v>2020</v>
      </c>
      <c r="J35" s="153"/>
      <c r="K35" s="153"/>
      <c r="L35" s="153"/>
      <c r="M35" s="153">
        <v>89.61</v>
      </c>
      <c r="N35" s="153" t="s">
        <v>798</v>
      </c>
      <c r="O35" s="153" t="s">
        <v>799</v>
      </c>
      <c r="P35" s="153" t="s">
        <v>756</v>
      </c>
      <c r="Q35" s="153" t="s">
        <v>757</v>
      </c>
      <c r="R35" s="153"/>
      <c r="S35" s="153" t="s">
        <v>850</v>
      </c>
      <c r="T35" s="153"/>
      <c r="U35" s="153">
        <f t="shared" si="1"/>
        <v>44.805</v>
      </c>
      <c r="V35" s="153"/>
      <c r="W35" s="169">
        <v>0</v>
      </c>
      <c r="X35" s="192">
        <v>1753.6305400000001</v>
      </c>
      <c r="Y35" s="153" t="s">
        <v>95</v>
      </c>
      <c r="Z35" s="193">
        <v>75</v>
      </c>
      <c r="AA35" s="169">
        <v>0</v>
      </c>
      <c r="AB35" s="192">
        <f>6850+3500</f>
        <v>10350</v>
      </c>
      <c r="AC35" s="169">
        <f t="shared" si="0"/>
        <v>12178.63054</v>
      </c>
      <c r="AD35" s="169"/>
      <c r="AE35" s="169"/>
      <c r="AF35" s="153" t="s">
        <v>95</v>
      </c>
      <c r="AG35" s="193">
        <v>413</v>
      </c>
      <c r="AH35" s="169">
        <v>0</v>
      </c>
      <c r="AI35" s="192">
        <f>6850+3500</f>
        <v>10350</v>
      </c>
      <c r="AJ35" s="153" t="s">
        <v>95</v>
      </c>
      <c r="AK35" s="193">
        <v>412</v>
      </c>
      <c r="AL35" s="245"/>
    </row>
    <row r="36" spans="2:38" s="154" customFormat="1" ht="28.5" x14ac:dyDescent="0.45">
      <c r="B36" s="152" t="s">
        <v>300</v>
      </c>
      <c r="C36" s="191" t="s">
        <v>297</v>
      </c>
      <c r="D36" s="191" t="s">
        <v>854</v>
      </c>
      <c r="E36" s="191" t="s">
        <v>855</v>
      </c>
      <c r="F36" s="191" t="s">
        <v>856</v>
      </c>
      <c r="G36" s="130" t="s">
        <v>313</v>
      </c>
      <c r="H36" s="130"/>
      <c r="I36" s="162">
        <v>2020</v>
      </c>
      <c r="J36" s="153"/>
      <c r="K36" s="153"/>
      <c r="L36" s="153">
        <v>219.27</v>
      </c>
      <c r="M36" s="153">
        <v>438.54</v>
      </c>
      <c r="N36" s="153" t="s">
        <v>798</v>
      </c>
      <c r="O36" s="153" t="s">
        <v>799</v>
      </c>
      <c r="P36" s="153" t="s">
        <v>756</v>
      </c>
      <c r="Q36" s="153" t="s">
        <v>757</v>
      </c>
      <c r="R36" s="153"/>
      <c r="S36" s="153" t="s">
        <v>850</v>
      </c>
      <c r="T36" s="153"/>
      <c r="U36" s="153">
        <f t="shared" si="1"/>
        <v>328.90500000000003</v>
      </c>
      <c r="V36" s="153"/>
      <c r="W36" s="169">
        <v>0</v>
      </c>
      <c r="X36" s="192">
        <v>760.58663999999987</v>
      </c>
      <c r="Y36" s="153" t="s">
        <v>95</v>
      </c>
      <c r="Z36" s="193">
        <v>1274</v>
      </c>
      <c r="AA36" s="169">
        <v>0</v>
      </c>
      <c r="AB36" s="192">
        <v>1828</v>
      </c>
      <c r="AC36" s="169">
        <f t="shared" si="0"/>
        <v>3862.58664</v>
      </c>
      <c r="AD36" s="169"/>
      <c r="AE36" s="169"/>
      <c r="AF36" s="153" t="s">
        <v>95</v>
      </c>
      <c r="AG36" s="193">
        <v>1250</v>
      </c>
      <c r="AH36" s="169">
        <v>0</v>
      </c>
      <c r="AI36" s="192">
        <v>1828</v>
      </c>
      <c r="AJ36" s="153" t="s">
        <v>95</v>
      </c>
      <c r="AK36" s="193">
        <v>1250</v>
      </c>
      <c r="AL36" s="245"/>
    </row>
    <row r="37" spans="2:38" s="154" customFormat="1" ht="28.5" x14ac:dyDescent="0.45">
      <c r="B37" s="152" t="s">
        <v>300</v>
      </c>
      <c r="C37" s="191" t="s">
        <v>297</v>
      </c>
      <c r="D37" s="191" t="s">
        <v>857</v>
      </c>
      <c r="E37" s="191" t="s">
        <v>858</v>
      </c>
      <c r="F37" s="191" t="s">
        <v>859</v>
      </c>
      <c r="G37" s="130"/>
      <c r="H37" s="130"/>
      <c r="I37" s="162">
        <v>1997</v>
      </c>
      <c r="J37" s="153"/>
      <c r="K37" s="153"/>
      <c r="L37" s="153"/>
      <c r="M37" s="153"/>
      <c r="N37" s="153"/>
      <c r="O37" s="153"/>
      <c r="P37" s="153"/>
      <c r="Q37" s="153"/>
      <c r="R37" s="153" t="s">
        <v>819</v>
      </c>
      <c r="S37" s="153"/>
      <c r="T37" s="153"/>
      <c r="U37" s="153">
        <f t="shared" si="1"/>
        <v>0</v>
      </c>
      <c r="V37" s="153"/>
      <c r="W37" s="169">
        <v>0</v>
      </c>
      <c r="X37" s="169">
        <v>0</v>
      </c>
      <c r="Y37" s="153"/>
      <c r="Z37" s="153"/>
      <c r="AA37" s="169">
        <v>0</v>
      </c>
      <c r="AB37" s="169">
        <v>0</v>
      </c>
      <c r="AC37" s="169">
        <f t="shared" si="0"/>
        <v>0</v>
      </c>
      <c r="AD37" s="169"/>
      <c r="AE37" s="169"/>
      <c r="AF37" s="153"/>
      <c r="AG37" s="153"/>
      <c r="AH37" s="169">
        <v>0</v>
      </c>
      <c r="AI37" s="169">
        <v>0</v>
      </c>
      <c r="AJ37" s="153"/>
      <c r="AK37" s="153"/>
      <c r="AL37" s="246"/>
    </row>
    <row r="38" spans="2:38" s="154" customFormat="1" ht="28.5" x14ac:dyDescent="0.45">
      <c r="B38" s="152" t="s">
        <v>300</v>
      </c>
      <c r="C38" s="191" t="s">
        <v>297</v>
      </c>
      <c r="D38" s="191" t="s">
        <v>860</v>
      </c>
      <c r="E38" s="191" t="s">
        <v>861</v>
      </c>
      <c r="F38" s="191" t="s">
        <v>862</v>
      </c>
      <c r="G38" s="130"/>
      <c r="H38" s="130"/>
      <c r="I38" s="162">
        <v>2011</v>
      </c>
      <c r="J38" s="153"/>
      <c r="K38" s="153"/>
      <c r="L38" s="153"/>
      <c r="M38" s="153"/>
      <c r="N38" s="153"/>
      <c r="O38" s="153"/>
      <c r="P38" s="153"/>
      <c r="Q38" s="153"/>
      <c r="R38" s="153" t="s">
        <v>863</v>
      </c>
      <c r="S38" s="153"/>
      <c r="T38" s="153"/>
      <c r="U38" s="153">
        <f t="shared" si="1"/>
        <v>0</v>
      </c>
      <c r="V38" s="153"/>
      <c r="W38" s="169">
        <v>0</v>
      </c>
      <c r="X38" s="169">
        <v>0</v>
      </c>
      <c r="Y38" s="153"/>
      <c r="Z38" s="153"/>
      <c r="AA38" s="169">
        <v>0</v>
      </c>
      <c r="AB38" s="169">
        <v>0</v>
      </c>
      <c r="AC38" s="169">
        <f t="shared" si="0"/>
        <v>0</v>
      </c>
      <c r="AD38" s="169"/>
      <c r="AE38" s="169"/>
      <c r="AF38" s="153"/>
      <c r="AG38" s="153"/>
      <c r="AH38" s="169">
        <v>0</v>
      </c>
      <c r="AI38" s="169">
        <v>0</v>
      </c>
      <c r="AJ38" s="153"/>
      <c r="AK38" s="153"/>
      <c r="AL38" s="246"/>
    </row>
    <row r="39" spans="2:38" s="154" customFormat="1" ht="28.5" x14ac:dyDescent="0.45">
      <c r="B39" s="152" t="s">
        <v>300</v>
      </c>
      <c r="C39" s="191" t="s">
        <v>297</v>
      </c>
      <c r="D39" s="191" t="s">
        <v>864</v>
      </c>
      <c r="E39" s="191" t="s">
        <v>865</v>
      </c>
      <c r="F39" s="191" t="s">
        <v>866</v>
      </c>
      <c r="G39" s="130"/>
      <c r="H39" s="130"/>
      <c r="I39" s="162">
        <v>1997</v>
      </c>
      <c r="J39" s="153"/>
      <c r="K39" s="153"/>
      <c r="L39" s="153"/>
      <c r="M39" s="153"/>
      <c r="N39" s="153"/>
      <c r="O39" s="153"/>
      <c r="P39" s="153"/>
      <c r="Q39" s="153"/>
      <c r="R39" s="153" t="s">
        <v>819</v>
      </c>
      <c r="S39" s="153"/>
      <c r="T39" s="153"/>
      <c r="U39" s="153">
        <f t="shared" si="1"/>
        <v>0</v>
      </c>
      <c r="V39" s="153"/>
      <c r="W39" s="169">
        <v>0</v>
      </c>
      <c r="X39" s="169">
        <v>0</v>
      </c>
      <c r="Y39" s="153"/>
      <c r="Z39" s="153"/>
      <c r="AA39" s="169">
        <v>0</v>
      </c>
      <c r="AB39" s="169">
        <v>0</v>
      </c>
      <c r="AC39" s="169">
        <f t="shared" si="0"/>
        <v>0</v>
      </c>
      <c r="AD39" s="169"/>
      <c r="AE39" s="169"/>
      <c r="AF39" s="153"/>
      <c r="AG39" s="153"/>
      <c r="AH39" s="169">
        <v>0</v>
      </c>
      <c r="AI39" s="169">
        <v>0</v>
      </c>
      <c r="AJ39" s="153"/>
      <c r="AK39" s="153"/>
      <c r="AL39" s="246"/>
    </row>
    <row r="40" spans="2:38" s="154" customFormat="1" ht="28.5" x14ac:dyDescent="0.45">
      <c r="B40" s="152" t="s">
        <v>300</v>
      </c>
      <c r="C40" s="191" t="s">
        <v>297</v>
      </c>
      <c r="D40" s="191" t="s">
        <v>867</v>
      </c>
      <c r="E40" s="191" t="s">
        <v>868</v>
      </c>
      <c r="F40" s="191" t="s">
        <v>869</v>
      </c>
      <c r="G40" s="130"/>
      <c r="H40" s="130"/>
      <c r="I40" s="162">
        <v>1997</v>
      </c>
      <c r="J40" s="153"/>
      <c r="K40" s="153"/>
      <c r="L40" s="153"/>
      <c r="M40" s="153"/>
      <c r="N40" s="153"/>
      <c r="O40" s="153"/>
      <c r="P40" s="153"/>
      <c r="Q40" s="153"/>
      <c r="R40" s="153" t="s">
        <v>870</v>
      </c>
      <c r="S40" s="153"/>
      <c r="T40" s="153"/>
      <c r="U40" s="153">
        <f t="shared" si="1"/>
        <v>0</v>
      </c>
      <c r="V40" s="153"/>
      <c r="W40" s="169">
        <v>0</v>
      </c>
      <c r="X40" s="169">
        <v>0</v>
      </c>
      <c r="Y40" s="153"/>
      <c r="Z40" s="153"/>
      <c r="AA40" s="169">
        <v>0</v>
      </c>
      <c r="AB40" s="169">
        <v>0</v>
      </c>
      <c r="AC40" s="169">
        <f t="shared" si="0"/>
        <v>0</v>
      </c>
      <c r="AD40" s="169"/>
      <c r="AE40" s="169"/>
      <c r="AF40" s="153"/>
      <c r="AG40" s="153"/>
      <c r="AH40" s="169">
        <v>0</v>
      </c>
      <c r="AI40" s="169">
        <v>0</v>
      </c>
      <c r="AJ40" s="153"/>
      <c r="AK40" s="153"/>
      <c r="AL40" s="246"/>
    </row>
    <row r="41" spans="2:38" s="154" customFormat="1" ht="28.5" x14ac:dyDescent="0.45">
      <c r="B41" s="152" t="s">
        <v>300</v>
      </c>
      <c r="C41" s="191" t="s">
        <v>297</v>
      </c>
      <c r="D41" s="191" t="s">
        <v>871</v>
      </c>
      <c r="E41" s="191" t="s">
        <v>872</v>
      </c>
      <c r="F41" s="191" t="s">
        <v>873</v>
      </c>
      <c r="G41" s="130" t="s">
        <v>294</v>
      </c>
      <c r="H41" s="130" t="s">
        <v>298</v>
      </c>
      <c r="I41" s="162">
        <v>2019</v>
      </c>
      <c r="J41" s="153"/>
      <c r="K41" s="153"/>
      <c r="L41" s="153">
        <v>63.23</v>
      </c>
      <c r="M41" s="153">
        <v>55.57</v>
      </c>
      <c r="N41" s="153" t="s">
        <v>798</v>
      </c>
      <c r="O41" s="153" t="s">
        <v>799</v>
      </c>
      <c r="P41" s="153" t="s">
        <v>756</v>
      </c>
      <c r="Q41" s="153" t="s">
        <v>809</v>
      </c>
      <c r="R41" s="153"/>
      <c r="S41" s="153"/>
      <c r="T41" s="153"/>
      <c r="U41" s="153">
        <f t="shared" si="1"/>
        <v>59.4</v>
      </c>
      <c r="V41" s="153"/>
      <c r="W41" s="192">
        <v>38849.735839264991</v>
      </c>
      <c r="X41" s="169">
        <v>0</v>
      </c>
      <c r="Y41" s="193">
        <v>15.58</v>
      </c>
      <c r="Z41" s="153" t="s">
        <v>95</v>
      </c>
      <c r="AA41" s="192">
        <v>120255.95</v>
      </c>
      <c r="AB41" s="169">
        <v>3126.6550000000002</v>
      </c>
      <c r="AC41" s="169">
        <f t="shared" si="0"/>
        <v>162247.92083926499</v>
      </c>
      <c r="AD41" s="169"/>
      <c r="AE41" s="169"/>
      <c r="AF41" s="193">
        <v>25</v>
      </c>
      <c r="AG41" s="153" t="s">
        <v>95</v>
      </c>
      <c r="AH41" s="192">
        <v>197199.2</v>
      </c>
      <c r="AI41" s="169">
        <v>5127.1790000000001</v>
      </c>
      <c r="AJ41" s="193">
        <v>80</v>
      </c>
      <c r="AK41" s="153" t="s">
        <v>95</v>
      </c>
      <c r="AL41" s="245"/>
    </row>
    <row r="42" spans="2:38" s="154" customFormat="1" ht="28.5" x14ac:dyDescent="0.45">
      <c r="B42" s="152" t="s">
        <v>300</v>
      </c>
      <c r="C42" s="191" t="s">
        <v>297</v>
      </c>
      <c r="D42" s="191" t="s">
        <v>874</v>
      </c>
      <c r="E42" s="191" t="s">
        <v>863</v>
      </c>
      <c r="F42" s="191" t="s">
        <v>875</v>
      </c>
      <c r="G42" s="130" t="s">
        <v>298</v>
      </c>
      <c r="H42" s="130" t="s">
        <v>294</v>
      </c>
      <c r="I42" s="162">
        <v>2011</v>
      </c>
      <c r="J42" s="153">
        <v>1.05</v>
      </c>
      <c r="K42" s="153"/>
      <c r="L42" s="153">
        <v>32.630000000000003</v>
      </c>
      <c r="M42" s="153">
        <v>58.1</v>
      </c>
      <c r="N42" s="153" t="s">
        <v>755</v>
      </c>
      <c r="O42" s="153"/>
      <c r="P42" s="153" t="s">
        <v>756</v>
      </c>
      <c r="Q42" s="153" t="s">
        <v>809</v>
      </c>
      <c r="R42" s="153"/>
      <c r="S42" s="153"/>
      <c r="T42" s="153"/>
      <c r="U42" s="153">
        <f t="shared" si="1"/>
        <v>45.365000000000002</v>
      </c>
      <c r="V42" s="153"/>
      <c r="W42" s="192">
        <v>138377.97911124001</v>
      </c>
      <c r="X42" s="192">
        <f>2537.71685+908.390310000002</f>
        <v>3446.1071600000018</v>
      </c>
      <c r="Y42" s="153">
        <v>99.5</v>
      </c>
      <c r="Z42" s="153" t="s">
        <v>95</v>
      </c>
      <c r="AA42" s="192">
        <v>92000</v>
      </c>
      <c r="AB42" s="192">
        <v>2000</v>
      </c>
      <c r="AC42" s="169">
        <f t="shared" si="0"/>
        <v>235923.58627124003</v>
      </c>
      <c r="AD42" s="169"/>
      <c r="AE42" s="169"/>
      <c r="AF42" s="193">
        <v>100</v>
      </c>
      <c r="AG42" s="153" t="s">
        <v>95</v>
      </c>
      <c r="AH42" s="192">
        <v>5000</v>
      </c>
      <c r="AI42" s="192">
        <v>130</v>
      </c>
      <c r="AJ42" s="193">
        <v>5</v>
      </c>
      <c r="AK42" s="153" t="s">
        <v>95</v>
      </c>
      <c r="AL42" s="245"/>
    </row>
    <row r="43" spans="2:38" s="154" customFormat="1" ht="28.5" x14ac:dyDescent="0.45">
      <c r="B43" s="152" t="s">
        <v>300</v>
      </c>
      <c r="C43" s="191" t="s">
        <v>297</v>
      </c>
      <c r="D43" s="191" t="s">
        <v>876</v>
      </c>
      <c r="E43" s="191" t="s">
        <v>877</v>
      </c>
      <c r="F43" s="191" t="s">
        <v>878</v>
      </c>
      <c r="G43" s="130" t="s">
        <v>298</v>
      </c>
      <c r="H43" s="130" t="s">
        <v>294</v>
      </c>
      <c r="I43" s="162">
        <v>2009</v>
      </c>
      <c r="J43" s="153"/>
      <c r="K43" s="153"/>
      <c r="L43" s="153"/>
      <c r="M43" s="153"/>
      <c r="N43" s="153" t="s">
        <v>879</v>
      </c>
      <c r="O43" s="153"/>
      <c r="P43" s="153" t="s">
        <v>756</v>
      </c>
      <c r="Q43" s="153" t="s">
        <v>809</v>
      </c>
      <c r="R43" s="153"/>
      <c r="S43" s="153"/>
      <c r="T43" s="153"/>
      <c r="U43" s="153">
        <f t="shared" si="1"/>
        <v>0</v>
      </c>
      <c r="V43" s="153"/>
      <c r="W43" s="169"/>
      <c r="X43" s="169">
        <v>0</v>
      </c>
      <c r="Y43" s="153">
        <v>21.6</v>
      </c>
      <c r="Z43" s="153" t="s">
        <v>95</v>
      </c>
      <c r="AA43" s="169"/>
      <c r="AB43" s="169">
        <v>0</v>
      </c>
      <c r="AC43" s="169">
        <f t="shared" si="0"/>
        <v>21.6</v>
      </c>
      <c r="AD43" s="169"/>
      <c r="AE43" s="169"/>
      <c r="AF43" s="193">
        <v>6.7</v>
      </c>
      <c r="AG43" s="153" t="s">
        <v>95</v>
      </c>
      <c r="AH43" s="169"/>
      <c r="AI43" s="169">
        <v>0</v>
      </c>
      <c r="AJ43" s="193">
        <v>38.6</v>
      </c>
      <c r="AK43" s="153" t="s">
        <v>95</v>
      </c>
      <c r="AL43" s="245"/>
    </row>
    <row r="44" spans="2:38" s="154" customFormat="1" ht="28.5" x14ac:dyDescent="0.45">
      <c r="B44" s="152" t="s">
        <v>300</v>
      </c>
      <c r="C44" s="191" t="s">
        <v>297</v>
      </c>
      <c r="D44" s="191" t="s">
        <v>876</v>
      </c>
      <c r="E44" s="191" t="s">
        <v>880</v>
      </c>
      <c r="F44" s="191" t="s">
        <v>878</v>
      </c>
      <c r="G44" s="130" t="s">
        <v>294</v>
      </c>
      <c r="H44" s="130" t="s">
        <v>298</v>
      </c>
      <c r="I44" s="162">
        <v>2009</v>
      </c>
      <c r="J44" s="153"/>
      <c r="K44" s="153"/>
      <c r="L44" s="153"/>
      <c r="M44" s="153"/>
      <c r="N44" s="153" t="s">
        <v>879</v>
      </c>
      <c r="O44" s="153"/>
      <c r="P44" s="153" t="s">
        <v>756</v>
      </c>
      <c r="Q44" s="153" t="s">
        <v>809</v>
      </c>
      <c r="R44" s="153"/>
      <c r="S44" s="153"/>
      <c r="T44" s="153"/>
      <c r="U44" s="153">
        <f t="shared" si="1"/>
        <v>0</v>
      </c>
      <c r="V44" s="153"/>
      <c r="W44" s="169"/>
      <c r="X44" s="169"/>
      <c r="Y44" s="153">
        <v>0</v>
      </c>
      <c r="Z44" s="153" t="s">
        <v>95</v>
      </c>
      <c r="AA44" s="169"/>
      <c r="AB44" s="169"/>
      <c r="AC44" s="169">
        <f t="shared" si="0"/>
        <v>0</v>
      </c>
      <c r="AD44" s="169"/>
      <c r="AE44" s="169"/>
      <c r="AF44" s="153">
        <v>0</v>
      </c>
      <c r="AG44" s="153" t="s">
        <v>95</v>
      </c>
      <c r="AH44" s="169"/>
      <c r="AI44" s="169"/>
      <c r="AJ44" s="153">
        <v>5.5</v>
      </c>
      <c r="AK44" s="153" t="s">
        <v>95</v>
      </c>
      <c r="AL44" s="245"/>
    </row>
    <row r="45" spans="2:38" s="154" customFormat="1" ht="28.5" x14ac:dyDescent="0.45">
      <c r="B45" s="152" t="s">
        <v>300</v>
      </c>
      <c r="C45" s="191" t="s">
        <v>297</v>
      </c>
      <c r="D45" s="191" t="s">
        <v>876</v>
      </c>
      <c r="E45" s="191" t="s">
        <v>881</v>
      </c>
      <c r="F45" s="191" t="s">
        <v>878</v>
      </c>
      <c r="G45" s="130" t="s">
        <v>298</v>
      </c>
      <c r="H45" s="130" t="s">
        <v>294</v>
      </c>
      <c r="I45" s="162">
        <v>2009</v>
      </c>
      <c r="J45" s="153"/>
      <c r="K45" s="153"/>
      <c r="L45" s="153"/>
      <c r="M45" s="153"/>
      <c r="N45" s="153" t="s">
        <v>755</v>
      </c>
      <c r="O45" s="153"/>
      <c r="P45" s="153" t="s">
        <v>756</v>
      </c>
      <c r="Q45" s="153" t="s">
        <v>809</v>
      </c>
      <c r="R45" s="153"/>
      <c r="S45" s="153"/>
      <c r="T45" s="153"/>
      <c r="U45" s="153">
        <f t="shared" si="1"/>
        <v>0</v>
      </c>
      <c r="V45" s="153"/>
      <c r="W45" s="192">
        <v>5030.3895554999999</v>
      </c>
      <c r="X45" s="169">
        <v>0</v>
      </c>
      <c r="Y45" s="153">
        <v>9.4</v>
      </c>
      <c r="Z45" s="153" t="s">
        <v>95</v>
      </c>
      <c r="AA45" s="192">
        <v>5914.4395275651568</v>
      </c>
      <c r="AB45" s="169">
        <v>0</v>
      </c>
      <c r="AC45" s="169">
        <f t="shared" si="0"/>
        <v>10954.229083065156</v>
      </c>
      <c r="AD45" s="169"/>
      <c r="AE45" s="169"/>
      <c r="AF45" s="193">
        <v>2.7</v>
      </c>
      <c r="AG45" s="153" t="s">
        <v>95</v>
      </c>
      <c r="AH45" s="192">
        <v>24015</v>
      </c>
      <c r="AI45" s="169">
        <v>0</v>
      </c>
      <c r="AJ45" s="193">
        <v>27</v>
      </c>
      <c r="AK45" s="153" t="s">
        <v>95</v>
      </c>
      <c r="AL45" s="245"/>
    </row>
    <row r="46" spans="2:38" s="154" customFormat="1" ht="28.5" x14ac:dyDescent="0.45">
      <c r="B46" s="152" t="s">
        <v>300</v>
      </c>
      <c r="C46" s="191" t="s">
        <v>297</v>
      </c>
      <c r="D46" s="191" t="s">
        <v>882</v>
      </c>
      <c r="E46" s="191" t="s">
        <v>883</v>
      </c>
      <c r="F46" s="191" t="s">
        <v>884</v>
      </c>
      <c r="G46" s="130" t="s">
        <v>298</v>
      </c>
      <c r="H46" s="130" t="s">
        <v>294</v>
      </c>
      <c r="I46" s="162">
        <v>2009</v>
      </c>
      <c r="J46" s="153"/>
      <c r="K46" s="153"/>
      <c r="L46" s="153"/>
      <c r="M46" s="153"/>
      <c r="N46" s="153" t="s">
        <v>879</v>
      </c>
      <c r="O46" s="153"/>
      <c r="P46" s="153" t="s">
        <v>756</v>
      </c>
      <c r="Q46" s="153" t="s">
        <v>809</v>
      </c>
      <c r="R46" s="153"/>
      <c r="S46" s="153"/>
      <c r="T46" s="153"/>
      <c r="U46" s="153">
        <f t="shared" si="1"/>
        <v>0</v>
      </c>
      <c r="V46" s="153"/>
      <c r="W46" s="169"/>
      <c r="X46" s="169">
        <v>0</v>
      </c>
      <c r="Y46" s="153">
        <v>29.07</v>
      </c>
      <c r="Z46" s="153" t="s">
        <v>95</v>
      </c>
      <c r="AA46" s="169"/>
      <c r="AB46" s="169">
        <v>0</v>
      </c>
      <c r="AC46" s="169">
        <f t="shared" si="0"/>
        <v>29.07</v>
      </c>
      <c r="AD46" s="169"/>
      <c r="AE46" s="169"/>
      <c r="AF46" s="153">
        <v>0</v>
      </c>
      <c r="AG46" s="153" t="s">
        <v>95</v>
      </c>
      <c r="AH46" s="169">
        <v>0</v>
      </c>
      <c r="AI46" s="169">
        <v>0</v>
      </c>
      <c r="AJ46" s="153">
        <v>0</v>
      </c>
      <c r="AK46" s="153" t="s">
        <v>95</v>
      </c>
      <c r="AL46" s="245"/>
    </row>
    <row r="47" spans="2:38" s="154" customFormat="1" ht="28.5" x14ac:dyDescent="0.45">
      <c r="B47" s="152" t="s">
        <v>300</v>
      </c>
      <c r="C47" s="191" t="s">
        <v>297</v>
      </c>
      <c r="D47" s="191" t="s">
        <v>882</v>
      </c>
      <c r="E47" s="191" t="s">
        <v>885</v>
      </c>
      <c r="F47" s="191" t="s">
        <v>884</v>
      </c>
      <c r="G47" s="130" t="s">
        <v>298</v>
      </c>
      <c r="H47" s="130" t="s">
        <v>294</v>
      </c>
      <c r="I47" s="162">
        <v>2009</v>
      </c>
      <c r="J47" s="153"/>
      <c r="K47" s="153"/>
      <c r="L47" s="153"/>
      <c r="M47" s="153">
        <v>52.44</v>
      </c>
      <c r="N47" s="153" t="s">
        <v>755</v>
      </c>
      <c r="O47" s="153"/>
      <c r="P47" s="153" t="s">
        <v>756</v>
      </c>
      <c r="Q47" s="153" t="s">
        <v>809</v>
      </c>
      <c r="R47" s="153"/>
      <c r="S47" s="153"/>
      <c r="T47" s="153"/>
      <c r="U47" s="153">
        <f t="shared" si="1"/>
        <v>26.22</v>
      </c>
      <c r="V47" s="153"/>
      <c r="W47" s="192">
        <v>46270.918591877366</v>
      </c>
      <c r="X47" s="169">
        <v>0</v>
      </c>
      <c r="Y47" s="153">
        <v>46.75</v>
      </c>
      <c r="Z47" s="153" t="s">
        <v>95</v>
      </c>
      <c r="AA47" s="192">
        <v>6965.2302344234813</v>
      </c>
      <c r="AB47" s="169">
        <v>0</v>
      </c>
      <c r="AC47" s="169">
        <f t="shared" si="0"/>
        <v>53282.89882630085</v>
      </c>
      <c r="AD47" s="169"/>
      <c r="AE47" s="169"/>
      <c r="AF47" s="153">
        <v>6.8</v>
      </c>
      <c r="AG47" s="153" t="s">
        <v>95</v>
      </c>
      <c r="AH47" s="169">
        <v>0</v>
      </c>
      <c r="AI47" s="169">
        <v>0</v>
      </c>
      <c r="AJ47" s="153">
        <v>0</v>
      </c>
      <c r="AK47" s="153" t="s">
        <v>95</v>
      </c>
      <c r="AL47" s="245"/>
    </row>
    <row r="48" spans="2:38" s="154" customFormat="1" ht="28.5" x14ac:dyDescent="0.45">
      <c r="B48" s="152" t="s">
        <v>300</v>
      </c>
      <c r="C48" s="191" t="s">
        <v>297</v>
      </c>
      <c r="D48" s="191" t="s">
        <v>882</v>
      </c>
      <c r="E48" s="191" t="s">
        <v>886</v>
      </c>
      <c r="F48" s="191" t="s">
        <v>884</v>
      </c>
      <c r="G48" s="130" t="s">
        <v>294</v>
      </c>
      <c r="H48" s="130" t="s">
        <v>298</v>
      </c>
      <c r="I48" s="162">
        <v>2009</v>
      </c>
      <c r="J48" s="153"/>
      <c r="K48" s="153"/>
      <c r="L48" s="153"/>
      <c r="M48" s="153">
        <v>38.200000000000003</v>
      </c>
      <c r="N48" s="153" t="s">
        <v>755</v>
      </c>
      <c r="O48" s="153"/>
      <c r="P48" s="153" t="s">
        <v>756</v>
      </c>
      <c r="Q48" s="153" t="s">
        <v>809</v>
      </c>
      <c r="R48" s="153"/>
      <c r="S48" s="153"/>
      <c r="T48" s="153"/>
      <c r="U48" s="153">
        <f t="shared" si="1"/>
        <v>19.100000000000001</v>
      </c>
      <c r="V48" s="153"/>
      <c r="W48" s="192">
        <v>37972.747127247632</v>
      </c>
      <c r="X48" s="169">
        <v>0</v>
      </c>
      <c r="Y48" s="153">
        <v>14.37</v>
      </c>
      <c r="Z48" s="153" t="s">
        <v>95</v>
      </c>
      <c r="AA48" s="192">
        <v>6051.2785737838021</v>
      </c>
      <c r="AB48" s="169">
        <v>0</v>
      </c>
      <c r="AC48" s="169">
        <f t="shared" si="0"/>
        <v>44038.395701031433</v>
      </c>
      <c r="AD48" s="169"/>
      <c r="AE48" s="169"/>
      <c r="AF48" s="153">
        <v>0</v>
      </c>
      <c r="AG48" s="153" t="s">
        <v>95</v>
      </c>
      <c r="AH48" s="169">
        <v>0</v>
      </c>
      <c r="AI48" s="169">
        <v>0</v>
      </c>
      <c r="AJ48" s="153">
        <v>0</v>
      </c>
      <c r="AK48" s="153" t="s">
        <v>95</v>
      </c>
      <c r="AL48" s="245"/>
    </row>
    <row r="49" spans="2:38" s="154" customFormat="1" ht="42.75" x14ac:dyDescent="0.45">
      <c r="B49" s="152" t="s">
        <v>300</v>
      </c>
      <c r="C49" s="191" t="s">
        <v>297</v>
      </c>
      <c r="D49" s="191" t="s">
        <v>887</v>
      </c>
      <c r="E49" s="191" t="s">
        <v>888</v>
      </c>
      <c r="F49" s="191" t="s">
        <v>889</v>
      </c>
      <c r="G49" s="130"/>
      <c r="H49" s="130"/>
      <c r="I49" s="162">
        <v>2010</v>
      </c>
      <c r="J49" s="153"/>
      <c r="K49" s="153"/>
      <c r="L49" s="153"/>
      <c r="M49" s="153"/>
      <c r="N49" s="153" t="s">
        <v>755</v>
      </c>
      <c r="O49" s="153"/>
      <c r="P49" s="153" t="s">
        <v>756</v>
      </c>
      <c r="Q49" s="153" t="s">
        <v>757</v>
      </c>
      <c r="R49" s="153"/>
      <c r="S49" s="153" t="s">
        <v>890</v>
      </c>
      <c r="T49" s="153"/>
      <c r="U49" s="153">
        <f t="shared" si="1"/>
        <v>0</v>
      </c>
      <c r="V49" s="153"/>
      <c r="W49" s="192">
        <v>35472.736846644118</v>
      </c>
      <c r="X49" s="169">
        <v>0</v>
      </c>
      <c r="Y49" s="153" t="s">
        <v>95</v>
      </c>
      <c r="Z49" s="193">
        <v>15</v>
      </c>
      <c r="AA49" s="192">
        <v>50328.32019660002</v>
      </c>
      <c r="AB49" s="169">
        <v>0</v>
      </c>
      <c r="AC49" s="169">
        <f t="shared" si="0"/>
        <v>85816.057043244131</v>
      </c>
      <c r="AD49" s="169"/>
      <c r="AE49" s="169"/>
      <c r="AF49" s="153" t="s">
        <v>95</v>
      </c>
      <c r="AG49" s="193">
        <v>10</v>
      </c>
      <c r="AH49" s="192">
        <v>70945.696853648013</v>
      </c>
      <c r="AI49" s="169">
        <v>0</v>
      </c>
      <c r="AJ49" s="153" t="s">
        <v>95</v>
      </c>
      <c r="AK49" s="193">
        <v>25</v>
      </c>
      <c r="AL49" s="245" t="s">
        <v>891</v>
      </c>
    </row>
    <row r="50" spans="2:38" s="154" customFormat="1" ht="28.5" x14ac:dyDescent="0.45">
      <c r="B50" s="152" t="s">
        <v>300</v>
      </c>
      <c r="C50" s="191" t="s">
        <v>297</v>
      </c>
      <c r="D50" s="191" t="s">
        <v>892</v>
      </c>
      <c r="E50" s="191" t="s">
        <v>893</v>
      </c>
      <c r="F50" s="191" t="s">
        <v>894</v>
      </c>
      <c r="G50" s="130" t="s">
        <v>298</v>
      </c>
      <c r="H50" s="130"/>
      <c r="I50" s="162">
        <v>2020</v>
      </c>
      <c r="J50" s="153" t="s">
        <v>95</v>
      </c>
      <c r="K50" s="153" t="s">
        <v>95</v>
      </c>
      <c r="L50" s="153" t="s">
        <v>95</v>
      </c>
      <c r="M50" s="153">
        <v>41.89</v>
      </c>
      <c r="N50" s="153" t="s">
        <v>798</v>
      </c>
      <c r="O50" s="153" t="s">
        <v>799</v>
      </c>
      <c r="P50" s="153" t="s">
        <v>756</v>
      </c>
      <c r="Q50" s="153" t="s">
        <v>809</v>
      </c>
      <c r="R50" s="153"/>
      <c r="S50" s="153" t="s">
        <v>895</v>
      </c>
      <c r="T50" s="153"/>
      <c r="U50" s="153">
        <f t="shared" si="1"/>
        <v>20.945</v>
      </c>
      <c r="V50" s="153"/>
      <c r="W50" s="169">
        <v>19.203270000000003</v>
      </c>
      <c r="X50" s="169">
        <v>0</v>
      </c>
      <c r="Y50" s="153" t="s">
        <v>95</v>
      </c>
      <c r="Z50" s="153">
        <v>0</v>
      </c>
      <c r="AA50" s="192">
        <v>1296.90491</v>
      </c>
      <c r="AB50" s="169">
        <v>0</v>
      </c>
      <c r="AC50" s="169">
        <f t="shared" si="0"/>
        <v>1316.1081799999999</v>
      </c>
      <c r="AD50" s="169"/>
      <c r="AE50" s="169"/>
      <c r="AF50" s="153" t="s">
        <v>95</v>
      </c>
      <c r="AG50" s="153">
        <v>924</v>
      </c>
      <c r="AH50" s="192">
        <v>2611.3667999999993</v>
      </c>
      <c r="AI50" s="169">
        <v>0</v>
      </c>
      <c r="AJ50" s="153" t="s">
        <v>95</v>
      </c>
      <c r="AK50" s="153">
        <v>1848</v>
      </c>
      <c r="AL50" s="245"/>
    </row>
    <row r="51" spans="2:38" s="154" customFormat="1" ht="28.5" x14ac:dyDescent="0.45">
      <c r="B51" s="152" t="s">
        <v>296</v>
      </c>
      <c r="C51" s="191" t="s">
        <v>301</v>
      </c>
      <c r="D51" s="191" t="s">
        <v>896</v>
      </c>
      <c r="E51" s="191" t="s">
        <v>819</v>
      </c>
      <c r="F51" s="191" t="s">
        <v>897</v>
      </c>
      <c r="G51" s="130" t="s">
        <v>298</v>
      </c>
      <c r="H51" s="130"/>
      <c r="I51" s="162">
        <v>1997</v>
      </c>
      <c r="J51" s="153"/>
      <c r="K51" s="153"/>
      <c r="L51" s="153">
        <v>45.24</v>
      </c>
      <c r="M51" s="153">
        <v>63.8</v>
      </c>
      <c r="N51" s="153" t="s">
        <v>755</v>
      </c>
      <c r="O51" s="153"/>
      <c r="P51" s="153" t="s">
        <v>898</v>
      </c>
      <c r="Q51" s="153" t="s">
        <v>809</v>
      </c>
      <c r="R51" s="153"/>
      <c r="S51" s="153" t="s">
        <v>899</v>
      </c>
      <c r="T51" s="153" t="s">
        <v>899</v>
      </c>
      <c r="U51" s="153">
        <f t="shared" si="1"/>
        <v>54.519999999999996</v>
      </c>
      <c r="V51" s="153">
        <f>SUM(AE51:AE68)/AD51</f>
        <v>123.4912508855208</v>
      </c>
      <c r="W51" s="192">
        <v>8320.2462970986307</v>
      </c>
      <c r="X51" s="192">
        <f>65+113.81394</f>
        <v>178.81394</v>
      </c>
      <c r="Y51" s="153" t="s">
        <v>95</v>
      </c>
      <c r="Z51" s="153">
        <v>17977</v>
      </c>
      <c r="AA51" s="192">
        <v>7484.3549399861822</v>
      </c>
      <c r="AB51" s="192">
        <v>2851.81394</v>
      </c>
      <c r="AC51" s="169">
        <f t="shared" si="0"/>
        <v>36812.229117084811</v>
      </c>
      <c r="AD51" s="169">
        <f>SUM(AC51:AC68)</f>
        <v>351841.7612369213</v>
      </c>
      <c r="AE51" s="169">
        <f>U51*AC51</f>
        <v>2007002.7314634637</v>
      </c>
      <c r="AF51" s="153" t="s">
        <v>95</v>
      </c>
      <c r="AG51" s="153">
        <v>22269</v>
      </c>
      <c r="AH51" s="192">
        <v>7628.8700352950027</v>
      </c>
      <c r="AI51" s="192">
        <v>2189.81394</v>
      </c>
      <c r="AJ51" s="153" t="s">
        <v>95</v>
      </c>
      <c r="AK51" s="153">
        <v>18055</v>
      </c>
      <c r="AL51" s="245"/>
    </row>
    <row r="52" spans="2:38" s="154" customFormat="1" ht="28.5" x14ac:dyDescent="0.45">
      <c r="B52" s="152" t="s">
        <v>296</v>
      </c>
      <c r="C52" s="191" t="s">
        <v>301</v>
      </c>
      <c r="D52" s="191" t="s">
        <v>900</v>
      </c>
      <c r="E52" s="191" t="s">
        <v>870</v>
      </c>
      <c r="F52" s="191" t="s">
        <v>901</v>
      </c>
      <c r="G52" s="130" t="s">
        <v>298</v>
      </c>
      <c r="H52" s="130"/>
      <c r="I52" s="162">
        <v>1997</v>
      </c>
      <c r="J52" s="153"/>
      <c r="K52" s="153"/>
      <c r="L52" s="153"/>
      <c r="M52" s="153"/>
      <c r="N52" s="153" t="s">
        <v>879</v>
      </c>
      <c r="O52" s="153"/>
      <c r="P52" s="153" t="s">
        <v>898</v>
      </c>
      <c r="Q52" s="153" t="s">
        <v>809</v>
      </c>
      <c r="R52" s="153"/>
      <c r="S52" s="153" t="s">
        <v>899</v>
      </c>
      <c r="T52" s="153"/>
      <c r="U52" s="153">
        <f t="shared" si="1"/>
        <v>0</v>
      </c>
      <c r="V52" s="153"/>
      <c r="W52" s="192">
        <v>838.11610999999982</v>
      </c>
      <c r="X52" s="169">
        <v>0</v>
      </c>
      <c r="Y52" s="153" t="s">
        <v>95</v>
      </c>
      <c r="Z52" s="153">
        <v>2679</v>
      </c>
      <c r="AA52" s="192">
        <v>787.2</v>
      </c>
      <c r="AB52" s="169">
        <v>0</v>
      </c>
      <c r="AC52" s="169">
        <f t="shared" si="0"/>
        <v>4304.3161099999998</v>
      </c>
      <c r="AD52" s="169"/>
      <c r="AE52" s="169">
        <f t="shared" ref="AE52:AE68" si="2">U52*AC52</f>
        <v>0</v>
      </c>
      <c r="AF52" s="153" t="s">
        <v>95</v>
      </c>
      <c r="AG52" s="153">
        <v>2715</v>
      </c>
      <c r="AH52" s="192">
        <v>724.86800000000005</v>
      </c>
      <c r="AI52" s="169">
        <v>0</v>
      </c>
      <c r="AJ52" s="153" t="s">
        <v>95</v>
      </c>
      <c r="AK52" s="153">
        <v>2715</v>
      </c>
      <c r="AL52" s="245"/>
    </row>
    <row r="53" spans="2:38" s="154" customFormat="1" ht="28.5" x14ac:dyDescent="0.45">
      <c r="B53" s="152" t="s">
        <v>296</v>
      </c>
      <c r="C53" s="191" t="s">
        <v>301</v>
      </c>
      <c r="D53" s="191" t="s">
        <v>902</v>
      </c>
      <c r="E53" s="191" t="s">
        <v>903</v>
      </c>
      <c r="F53" s="191" t="s">
        <v>904</v>
      </c>
      <c r="G53" s="130"/>
      <c r="H53" s="130"/>
      <c r="I53" s="162">
        <v>2019</v>
      </c>
      <c r="J53" s="153"/>
      <c r="K53" s="153"/>
      <c r="L53" s="153"/>
      <c r="M53" s="153"/>
      <c r="N53" s="153"/>
      <c r="O53" s="153"/>
      <c r="P53" s="153"/>
      <c r="Q53" s="153"/>
      <c r="R53" s="153" t="s">
        <v>905</v>
      </c>
      <c r="S53" s="153"/>
      <c r="T53" s="153"/>
      <c r="U53" s="153">
        <f t="shared" si="1"/>
        <v>0</v>
      </c>
      <c r="V53" s="153"/>
      <c r="W53" s="169">
        <v>0</v>
      </c>
      <c r="X53" s="169">
        <v>0</v>
      </c>
      <c r="Y53" s="153"/>
      <c r="Z53" s="153"/>
      <c r="AA53" s="169">
        <v>0</v>
      </c>
      <c r="AB53" s="169"/>
      <c r="AC53" s="169">
        <f t="shared" si="0"/>
        <v>0</v>
      </c>
      <c r="AD53" s="169"/>
      <c r="AE53" s="169">
        <f t="shared" si="2"/>
        <v>0</v>
      </c>
      <c r="AF53" s="153"/>
      <c r="AG53" s="153"/>
      <c r="AH53" s="169">
        <v>0</v>
      </c>
      <c r="AI53" s="169">
        <v>0</v>
      </c>
      <c r="AJ53" s="153"/>
      <c r="AK53" s="153"/>
      <c r="AL53" s="246"/>
    </row>
    <row r="54" spans="2:38" s="154" customFormat="1" ht="28.5" x14ac:dyDescent="0.45">
      <c r="B54" s="152" t="s">
        <v>296</v>
      </c>
      <c r="C54" s="191" t="s">
        <v>301</v>
      </c>
      <c r="D54" s="191" t="s">
        <v>906</v>
      </c>
      <c r="E54" s="191" t="s">
        <v>907</v>
      </c>
      <c r="F54" s="191" t="s">
        <v>908</v>
      </c>
      <c r="G54" s="130" t="s">
        <v>298</v>
      </c>
      <c r="H54" s="130"/>
      <c r="I54" s="162">
        <v>2020</v>
      </c>
      <c r="J54" s="153"/>
      <c r="K54" s="153"/>
      <c r="L54" s="153">
        <v>331.53</v>
      </c>
      <c r="M54" s="153">
        <v>433.6</v>
      </c>
      <c r="N54" s="153" t="s">
        <v>798</v>
      </c>
      <c r="O54" s="153" t="s">
        <v>799</v>
      </c>
      <c r="P54" s="153" t="s">
        <v>756</v>
      </c>
      <c r="Q54" s="153" t="s">
        <v>757</v>
      </c>
      <c r="R54" s="153"/>
      <c r="S54" s="153" t="s">
        <v>899</v>
      </c>
      <c r="T54" s="153"/>
      <c r="U54" s="153">
        <f t="shared" si="1"/>
        <v>382.565</v>
      </c>
      <c r="V54" s="153"/>
      <c r="W54" s="169">
        <v>0</v>
      </c>
      <c r="X54" s="192">
        <v>174.57432999999997</v>
      </c>
      <c r="Y54" s="153" t="s">
        <v>95</v>
      </c>
      <c r="Z54" s="193">
        <v>13077</v>
      </c>
      <c r="AA54" s="169">
        <v>0</v>
      </c>
      <c r="AB54" s="192">
        <v>174.57432999999997</v>
      </c>
      <c r="AC54" s="169">
        <f t="shared" si="0"/>
        <v>13426.148659999999</v>
      </c>
      <c r="AD54" s="169"/>
      <c r="AE54" s="169">
        <f t="shared" si="2"/>
        <v>5136374.5621128995</v>
      </c>
      <c r="AF54" s="153" t="s">
        <v>95</v>
      </c>
      <c r="AG54" s="193">
        <v>18000</v>
      </c>
      <c r="AH54" s="169">
        <v>0</v>
      </c>
      <c r="AI54" s="192">
        <v>174.57432999999997</v>
      </c>
      <c r="AJ54" s="153" t="s">
        <v>95</v>
      </c>
      <c r="AK54" s="193">
        <v>18000</v>
      </c>
      <c r="AL54" s="245"/>
    </row>
    <row r="55" spans="2:38" s="154" customFormat="1" ht="28.5" x14ac:dyDescent="0.45">
      <c r="B55" s="152" t="s">
        <v>296</v>
      </c>
      <c r="C55" s="191" t="s">
        <v>301</v>
      </c>
      <c r="D55" s="191" t="s">
        <v>909</v>
      </c>
      <c r="E55" s="191" t="s">
        <v>910</v>
      </c>
      <c r="F55" s="191" t="s">
        <v>911</v>
      </c>
      <c r="G55" s="130" t="s">
        <v>298</v>
      </c>
      <c r="H55" s="130"/>
      <c r="I55" s="162">
        <v>2010</v>
      </c>
      <c r="J55" s="153"/>
      <c r="K55" s="153"/>
      <c r="L55" s="153"/>
      <c r="M55" s="153"/>
      <c r="N55" s="153" t="s">
        <v>879</v>
      </c>
      <c r="O55" s="153"/>
      <c r="P55" s="153" t="s">
        <v>898</v>
      </c>
      <c r="Q55" s="153" t="s">
        <v>757</v>
      </c>
      <c r="R55" s="153"/>
      <c r="S55" s="153" t="s">
        <v>899</v>
      </c>
      <c r="T55" s="153"/>
      <c r="U55" s="153">
        <f t="shared" si="1"/>
        <v>0</v>
      </c>
      <c r="V55" s="153"/>
      <c r="W55" s="169">
        <v>0</v>
      </c>
      <c r="X55" s="169">
        <v>0</v>
      </c>
      <c r="Y55" s="153" t="s">
        <v>95</v>
      </c>
      <c r="Z55" s="153">
        <v>6481</v>
      </c>
      <c r="AA55" s="169">
        <v>0</v>
      </c>
      <c r="AB55" s="169">
        <v>0</v>
      </c>
      <c r="AC55" s="169">
        <f t="shared" si="0"/>
        <v>6481</v>
      </c>
      <c r="AD55" s="169"/>
      <c r="AE55" s="169">
        <f t="shared" si="2"/>
        <v>0</v>
      </c>
      <c r="AF55" s="153" t="s">
        <v>95</v>
      </c>
      <c r="AG55" s="153">
        <v>6565</v>
      </c>
      <c r="AH55" s="169">
        <v>0</v>
      </c>
      <c r="AI55" s="169">
        <v>0</v>
      </c>
      <c r="AJ55" s="153" t="s">
        <v>95</v>
      </c>
      <c r="AK55" s="153">
        <v>6565</v>
      </c>
      <c r="AL55" s="245"/>
    </row>
    <row r="56" spans="2:38" s="154" customFormat="1" ht="28.5" x14ac:dyDescent="0.45">
      <c r="B56" s="152" t="s">
        <v>296</v>
      </c>
      <c r="C56" s="191" t="s">
        <v>301</v>
      </c>
      <c r="D56" s="191" t="s">
        <v>912</v>
      </c>
      <c r="E56" s="191" t="s">
        <v>913</v>
      </c>
      <c r="F56" s="191" t="s">
        <v>914</v>
      </c>
      <c r="G56" s="130" t="s">
        <v>298</v>
      </c>
      <c r="H56" s="130"/>
      <c r="I56" s="162">
        <v>1997</v>
      </c>
      <c r="J56" s="153"/>
      <c r="K56" s="153"/>
      <c r="L56" s="153">
        <v>26.4</v>
      </c>
      <c r="M56" s="153">
        <v>106.67</v>
      </c>
      <c r="N56" s="153" t="s">
        <v>755</v>
      </c>
      <c r="O56" s="153"/>
      <c r="P56" s="153" t="s">
        <v>898</v>
      </c>
      <c r="Q56" s="153" t="s">
        <v>809</v>
      </c>
      <c r="R56" s="153"/>
      <c r="S56" s="153" t="s">
        <v>899</v>
      </c>
      <c r="T56" s="153"/>
      <c r="U56" s="153">
        <f t="shared" si="1"/>
        <v>66.534999999999997</v>
      </c>
      <c r="V56" s="153"/>
      <c r="W56" s="192">
        <v>566.81893583510987</v>
      </c>
      <c r="X56" s="192">
        <v>883.61793</v>
      </c>
      <c r="Y56" s="153" t="s">
        <v>95</v>
      </c>
      <c r="Z56" s="153">
        <v>14450</v>
      </c>
      <c r="AA56" s="192">
        <v>1520.808764934367</v>
      </c>
      <c r="AB56" s="192">
        <v>633.26599999999996</v>
      </c>
      <c r="AC56" s="169">
        <f t="shared" si="0"/>
        <v>18054.511630769477</v>
      </c>
      <c r="AD56" s="169"/>
      <c r="AE56" s="169">
        <f t="shared" si="2"/>
        <v>1201256.931353247</v>
      </c>
      <c r="AF56" s="153" t="s">
        <v>95</v>
      </c>
      <c r="AG56" s="153">
        <v>9796</v>
      </c>
      <c r="AH56" s="192">
        <v>1550.0740036875377</v>
      </c>
      <c r="AI56" s="192">
        <v>837.41913999999997</v>
      </c>
      <c r="AJ56" s="153" t="s">
        <v>95</v>
      </c>
      <c r="AK56" s="153">
        <v>380</v>
      </c>
      <c r="AL56" s="245"/>
    </row>
    <row r="57" spans="2:38" s="154" customFormat="1" ht="47.65" customHeight="1" x14ac:dyDescent="0.45">
      <c r="B57" s="152" t="s">
        <v>296</v>
      </c>
      <c r="C57" s="191" t="s">
        <v>301</v>
      </c>
      <c r="D57" s="191" t="s">
        <v>915</v>
      </c>
      <c r="E57" s="191" t="s">
        <v>916</v>
      </c>
      <c r="F57" s="191" t="s">
        <v>917</v>
      </c>
      <c r="G57" s="130"/>
      <c r="H57" s="130"/>
      <c r="I57" s="162">
        <v>2011</v>
      </c>
      <c r="J57" s="153"/>
      <c r="K57" s="153"/>
      <c r="L57" s="153"/>
      <c r="M57" s="153"/>
      <c r="N57" s="153" t="s">
        <v>755</v>
      </c>
      <c r="O57" s="153"/>
      <c r="P57" s="153" t="s">
        <v>756</v>
      </c>
      <c r="Q57" s="153" t="s">
        <v>809</v>
      </c>
      <c r="R57" s="153"/>
      <c r="S57" s="153"/>
      <c r="T57" s="153"/>
      <c r="U57" s="153">
        <f t="shared" si="1"/>
        <v>0</v>
      </c>
      <c r="V57" s="153"/>
      <c r="W57" s="169">
        <v>0</v>
      </c>
      <c r="X57" s="169">
        <v>0</v>
      </c>
      <c r="Y57" s="153" t="s">
        <v>95</v>
      </c>
      <c r="Z57" s="153" t="s">
        <v>95</v>
      </c>
      <c r="AA57" s="169">
        <v>0</v>
      </c>
      <c r="AB57" s="192">
        <v>1799.865</v>
      </c>
      <c r="AC57" s="169">
        <f t="shared" si="0"/>
        <v>1799.865</v>
      </c>
      <c r="AD57" s="169"/>
      <c r="AE57" s="169">
        <f t="shared" si="2"/>
        <v>0</v>
      </c>
      <c r="AF57" s="153" t="s">
        <v>95</v>
      </c>
      <c r="AG57" s="153" t="s">
        <v>95</v>
      </c>
      <c r="AH57" s="169">
        <v>0</v>
      </c>
      <c r="AI57" s="192">
        <v>1548.36</v>
      </c>
      <c r="AJ57" s="153" t="s">
        <v>95</v>
      </c>
      <c r="AK57" s="153" t="s">
        <v>95</v>
      </c>
      <c r="AL57" s="245" t="s">
        <v>918</v>
      </c>
    </row>
    <row r="58" spans="2:38" s="154" customFormat="1" ht="28.5" x14ac:dyDescent="0.45">
      <c r="B58" s="152" t="s">
        <v>296</v>
      </c>
      <c r="C58" s="191" t="s">
        <v>301</v>
      </c>
      <c r="D58" s="191" t="s">
        <v>919</v>
      </c>
      <c r="E58" s="191" t="s">
        <v>920</v>
      </c>
      <c r="F58" s="191" t="s">
        <v>921</v>
      </c>
      <c r="G58" s="130"/>
      <c r="H58" s="130"/>
      <c r="I58" s="162">
        <v>2009</v>
      </c>
      <c r="J58" s="153"/>
      <c r="K58" s="153"/>
      <c r="L58" s="153"/>
      <c r="M58" s="153"/>
      <c r="N58" s="153" t="s">
        <v>879</v>
      </c>
      <c r="O58" s="153"/>
      <c r="P58" s="153" t="s">
        <v>756</v>
      </c>
      <c r="Q58" s="153" t="s">
        <v>757</v>
      </c>
      <c r="R58" s="153"/>
      <c r="S58" s="153"/>
      <c r="T58" s="153"/>
      <c r="U58" s="153">
        <f t="shared" si="1"/>
        <v>0</v>
      </c>
      <c r="V58" s="153"/>
      <c r="W58" s="169">
        <v>0</v>
      </c>
      <c r="X58" s="169">
        <v>0</v>
      </c>
      <c r="Y58" s="153" t="s">
        <v>95</v>
      </c>
      <c r="Z58" s="153" t="s">
        <v>95</v>
      </c>
      <c r="AA58" s="169">
        <v>0</v>
      </c>
      <c r="AB58" s="169">
        <v>0</v>
      </c>
      <c r="AC58" s="169">
        <f t="shared" si="0"/>
        <v>0</v>
      </c>
      <c r="AD58" s="169"/>
      <c r="AE58" s="169">
        <f t="shared" si="2"/>
        <v>0</v>
      </c>
      <c r="AF58" s="153" t="s">
        <v>95</v>
      </c>
      <c r="AG58" s="153" t="s">
        <v>95</v>
      </c>
      <c r="AH58" s="169">
        <v>0</v>
      </c>
      <c r="AI58" s="169">
        <v>0</v>
      </c>
      <c r="AJ58" s="153" t="s">
        <v>95</v>
      </c>
      <c r="AK58" s="153" t="s">
        <v>95</v>
      </c>
      <c r="AL58" s="245"/>
    </row>
    <row r="59" spans="2:38" s="154" customFormat="1" ht="28.5" x14ac:dyDescent="0.45">
      <c r="B59" s="152" t="s">
        <v>296</v>
      </c>
      <c r="C59" s="191" t="s">
        <v>301</v>
      </c>
      <c r="D59" s="191" t="s">
        <v>922</v>
      </c>
      <c r="E59" s="191" t="s">
        <v>923</v>
      </c>
      <c r="F59" s="191" t="s">
        <v>924</v>
      </c>
      <c r="G59" s="130" t="s">
        <v>298</v>
      </c>
      <c r="H59" s="130"/>
      <c r="I59" s="162">
        <v>2009</v>
      </c>
      <c r="J59" s="153"/>
      <c r="K59" s="153"/>
      <c r="L59" s="153">
        <v>17.18</v>
      </c>
      <c r="M59" s="153">
        <v>106.81</v>
      </c>
      <c r="N59" s="153" t="s">
        <v>755</v>
      </c>
      <c r="O59" s="153"/>
      <c r="P59" s="153" t="s">
        <v>756</v>
      </c>
      <c r="Q59" s="153" t="s">
        <v>809</v>
      </c>
      <c r="R59" s="153"/>
      <c r="S59" s="153" t="s">
        <v>899</v>
      </c>
      <c r="T59" s="153"/>
      <c r="U59" s="153">
        <f t="shared" si="1"/>
        <v>61.995000000000005</v>
      </c>
      <c r="V59" s="153"/>
      <c r="W59" s="192">
        <v>1248.3820398073119</v>
      </c>
      <c r="X59" s="192">
        <f>152+248.10009</f>
        <v>400.10009000000002</v>
      </c>
      <c r="Y59" s="153" t="s">
        <v>95</v>
      </c>
      <c r="Z59" s="153">
        <v>11864</v>
      </c>
      <c r="AA59" s="192">
        <v>2459.3216067552007</v>
      </c>
      <c r="AB59" s="192">
        <f>133+248.10009</f>
        <v>381.10009000000002</v>
      </c>
      <c r="AC59" s="169">
        <f t="shared" si="0"/>
        <v>16352.903826562511</v>
      </c>
      <c r="AD59" s="169"/>
      <c r="AE59" s="169">
        <f t="shared" si="2"/>
        <v>1013798.2727277429</v>
      </c>
      <c r="AF59" s="153" t="s">
        <v>95</v>
      </c>
      <c r="AG59" s="153">
        <v>10815</v>
      </c>
      <c r="AH59" s="192">
        <v>2506.8863709361831</v>
      </c>
      <c r="AI59" s="192">
        <f>136+248.10009</f>
        <v>384.10009000000002</v>
      </c>
      <c r="AJ59" s="153" t="s">
        <v>95</v>
      </c>
      <c r="AK59" s="153">
        <v>12380</v>
      </c>
      <c r="AL59" s="245"/>
    </row>
    <row r="60" spans="2:38" s="154" customFormat="1" ht="28.5" x14ac:dyDescent="0.45">
      <c r="B60" s="152" t="s">
        <v>296</v>
      </c>
      <c r="C60" s="191" t="s">
        <v>301</v>
      </c>
      <c r="D60" s="191" t="s">
        <v>925</v>
      </c>
      <c r="E60" s="191" t="s">
        <v>905</v>
      </c>
      <c r="F60" s="191" t="s">
        <v>926</v>
      </c>
      <c r="G60" s="130" t="s">
        <v>298</v>
      </c>
      <c r="H60" s="130"/>
      <c r="I60" s="162">
        <v>2019</v>
      </c>
      <c r="J60" s="153"/>
      <c r="K60" s="153"/>
      <c r="L60" s="153">
        <v>9.39</v>
      </c>
      <c r="M60" s="153">
        <v>16.350000000000001</v>
      </c>
      <c r="N60" s="153" t="s">
        <v>798</v>
      </c>
      <c r="O60" s="153" t="s">
        <v>799</v>
      </c>
      <c r="P60" s="153" t="s">
        <v>756</v>
      </c>
      <c r="Q60" s="153" t="s">
        <v>809</v>
      </c>
      <c r="R60" s="153"/>
      <c r="S60" s="153" t="s">
        <v>899</v>
      </c>
      <c r="T60" s="153"/>
      <c r="U60" s="153">
        <f t="shared" si="1"/>
        <v>12.870000000000001</v>
      </c>
      <c r="V60" s="153"/>
      <c r="W60" s="192">
        <v>15901.279588055118</v>
      </c>
      <c r="X60" s="169">
        <v>51953.413809999991</v>
      </c>
      <c r="Y60" s="153" t="s">
        <v>95</v>
      </c>
      <c r="Z60" s="153">
        <v>37310</v>
      </c>
      <c r="AA60" s="192">
        <v>13595.058800000001</v>
      </c>
      <c r="AB60" s="169">
        <v>35357.792000000001</v>
      </c>
      <c r="AC60" s="169">
        <f t="shared" si="0"/>
        <v>154117.54419805511</v>
      </c>
      <c r="AD60" s="169"/>
      <c r="AE60" s="169">
        <f t="shared" si="2"/>
        <v>1983492.7938289694</v>
      </c>
      <c r="AF60" s="153" t="s">
        <v>95</v>
      </c>
      <c r="AG60" s="153">
        <v>22000</v>
      </c>
      <c r="AH60" s="192">
        <v>11205.150320000001</v>
      </c>
      <c r="AI60" s="169">
        <v>28664.120999999999</v>
      </c>
      <c r="AJ60" s="153" t="s">
        <v>95</v>
      </c>
      <c r="AK60" s="153">
        <v>22000</v>
      </c>
      <c r="AL60" s="245"/>
    </row>
    <row r="61" spans="2:38" s="154" customFormat="1" ht="28.5" x14ac:dyDescent="0.45">
      <c r="B61" s="152" t="s">
        <v>296</v>
      </c>
      <c r="C61" s="191" t="s">
        <v>301</v>
      </c>
      <c r="D61" s="191" t="s">
        <v>927</v>
      </c>
      <c r="E61" s="191" t="s">
        <v>928</v>
      </c>
      <c r="F61" s="191" t="s">
        <v>929</v>
      </c>
      <c r="G61" s="130" t="s">
        <v>298</v>
      </c>
      <c r="H61" s="130"/>
      <c r="I61" s="162">
        <v>2019</v>
      </c>
      <c r="J61" s="153"/>
      <c r="K61" s="153"/>
      <c r="L61" s="153">
        <v>6.61</v>
      </c>
      <c r="M61" s="153">
        <v>13.24</v>
      </c>
      <c r="N61" s="153" t="s">
        <v>798</v>
      </c>
      <c r="O61" s="153" t="s">
        <v>799</v>
      </c>
      <c r="P61" s="153" t="s">
        <v>756</v>
      </c>
      <c r="Q61" s="153" t="s">
        <v>809</v>
      </c>
      <c r="R61" s="153"/>
      <c r="S61" s="153"/>
      <c r="T61" s="153"/>
      <c r="U61" s="153">
        <f t="shared" si="1"/>
        <v>9.9250000000000007</v>
      </c>
      <c r="V61" s="153"/>
      <c r="W61" s="192">
        <v>41.287678866159986</v>
      </c>
      <c r="X61" s="192">
        <v>0</v>
      </c>
      <c r="Y61" s="153" t="s">
        <v>95</v>
      </c>
      <c r="Z61" s="153" t="s">
        <v>95</v>
      </c>
      <c r="AA61" s="169">
        <v>0</v>
      </c>
      <c r="AB61" s="192">
        <v>125</v>
      </c>
      <c r="AC61" s="169">
        <f t="shared" si="0"/>
        <v>166.28767886615998</v>
      </c>
      <c r="AD61" s="169"/>
      <c r="AE61" s="169">
        <f t="shared" si="2"/>
        <v>1650.405212746638</v>
      </c>
      <c r="AF61" s="153" t="s">
        <v>95</v>
      </c>
      <c r="AG61" s="153" t="s">
        <v>95</v>
      </c>
      <c r="AH61" s="169">
        <v>0</v>
      </c>
      <c r="AI61" s="192">
        <v>125</v>
      </c>
      <c r="AJ61" s="153" t="s">
        <v>95</v>
      </c>
      <c r="AK61" s="153" t="s">
        <v>95</v>
      </c>
      <c r="AL61" s="245"/>
    </row>
    <row r="62" spans="2:38" s="154" customFormat="1" ht="28.5" x14ac:dyDescent="0.45">
      <c r="B62" s="152" t="s">
        <v>296</v>
      </c>
      <c r="C62" s="191" t="s">
        <v>301</v>
      </c>
      <c r="D62" s="191" t="s">
        <v>930</v>
      </c>
      <c r="E62" s="191" t="s">
        <v>931</v>
      </c>
      <c r="F62" s="191" t="s">
        <v>932</v>
      </c>
      <c r="G62" s="130" t="s">
        <v>298</v>
      </c>
      <c r="H62" s="130"/>
      <c r="I62" s="162">
        <v>2020</v>
      </c>
      <c r="J62" s="153"/>
      <c r="K62" s="153"/>
      <c r="L62" s="153"/>
      <c r="M62" s="153"/>
      <c r="N62" s="153" t="s">
        <v>879</v>
      </c>
      <c r="O62" s="153"/>
      <c r="P62" s="153" t="s">
        <v>756</v>
      </c>
      <c r="Q62" s="153" t="s">
        <v>809</v>
      </c>
      <c r="R62" s="153"/>
      <c r="S62" s="153" t="s">
        <v>899</v>
      </c>
      <c r="T62" s="153"/>
      <c r="U62" s="153">
        <f t="shared" si="1"/>
        <v>0</v>
      </c>
      <c r="V62" s="153"/>
      <c r="W62" s="169">
        <v>0</v>
      </c>
      <c r="X62" s="169">
        <v>0</v>
      </c>
      <c r="Y62" s="153" t="s">
        <v>95</v>
      </c>
      <c r="Z62" s="153">
        <v>2679</v>
      </c>
      <c r="AA62" s="169">
        <v>0</v>
      </c>
      <c r="AB62" s="169">
        <v>0</v>
      </c>
      <c r="AC62" s="169">
        <f t="shared" si="0"/>
        <v>2679</v>
      </c>
      <c r="AD62" s="169"/>
      <c r="AE62" s="169">
        <f t="shared" si="2"/>
        <v>0</v>
      </c>
      <c r="AF62" s="153" t="s">
        <v>95</v>
      </c>
      <c r="AG62" s="153">
        <v>2715</v>
      </c>
      <c r="AH62" s="169">
        <v>0</v>
      </c>
      <c r="AI62" s="169">
        <v>0</v>
      </c>
      <c r="AJ62" s="153" t="s">
        <v>95</v>
      </c>
      <c r="AK62" s="153">
        <v>2715</v>
      </c>
      <c r="AL62" s="245"/>
    </row>
    <row r="63" spans="2:38" s="154" customFormat="1" ht="28.5" x14ac:dyDescent="0.45">
      <c r="B63" s="152" t="s">
        <v>296</v>
      </c>
      <c r="C63" s="191" t="s">
        <v>301</v>
      </c>
      <c r="D63" s="191" t="s">
        <v>933</v>
      </c>
      <c r="E63" s="191" t="s">
        <v>934</v>
      </c>
      <c r="F63" s="191"/>
      <c r="G63" s="130" t="s">
        <v>298</v>
      </c>
      <c r="H63" s="130"/>
      <c r="I63" s="162">
        <v>2010</v>
      </c>
      <c r="J63" s="153"/>
      <c r="K63" s="153"/>
      <c r="L63" s="153"/>
      <c r="M63" s="153"/>
      <c r="N63" s="153" t="s">
        <v>879</v>
      </c>
      <c r="O63" s="153"/>
      <c r="P63" s="153" t="s">
        <v>756</v>
      </c>
      <c r="Q63" s="153" t="s">
        <v>809</v>
      </c>
      <c r="R63" s="153"/>
      <c r="S63" s="153" t="s">
        <v>899</v>
      </c>
      <c r="T63" s="153"/>
      <c r="U63" s="153">
        <f t="shared" si="1"/>
        <v>0</v>
      </c>
      <c r="V63" s="153"/>
      <c r="W63" s="169">
        <v>0</v>
      </c>
      <c r="X63" s="169">
        <v>0</v>
      </c>
      <c r="Y63" s="153" t="s">
        <v>95</v>
      </c>
      <c r="Z63" s="153">
        <v>1957</v>
      </c>
      <c r="AA63" s="169">
        <v>0</v>
      </c>
      <c r="AB63" s="169">
        <v>0</v>
      </c>
      <c r="AC63" s="169">
        <f t="shared" si="0"/>
        <v>1957</v>
      </c>
      <c r="AD63" s="169"/>
      <c r="AE63" s="169">
        <f t="shared" si="2"/>
        <v>0</v>
      </c>
      <c r="AF63" s="153" t="s">
        <v>95</v>
      </c>
      <c r="AG63" s="153">
        <v>1792</v>
      </c>
      <c r="AH63" s="169">
        <v>0</v>
      </c>
      <c r="AI63" s="169">
        <v>0</v>
      </c>
      <c r="AJ63" s="153" t="s">
        <v>95</v>
      </c>
      <c r="AK63" s="153">
        <v>1792</v>
      </c>
      <c r="AL63" s="245"/>
    </row>
    <row r="64" spans="2:38" s="154" customFormat="1" ht="28.5" x14ac:dyDescent="0.45">
      <c r="B64" s="152" t="s">
        <v>296</v>
      </c>
      <c r="C64" s="191" t="s">
        <v>301</v>
      </c>
      <c r="D64" s="191" t="s">
        <v>935</v>
      </c>
      <c r="E64" s="191" t="s">
        <v>936</v>
      </c>
      <c r="F64" s="191" t="s">
        <v>937</v>
      </c>
      <c r="G64" s="130" t="s">
        <v>298</v>
      </c>
      <c r="H64" s="130"/>
      <c r="I64" s="162">
        <v>1997</v>
      </c>
      <c r="J64" s="153"/>
      <c r="K64" s="153"/>
      <c r="L64" s="153">
        <v>285.89999999999998</v>
      </c>
      <c r="M64" s="153">
        <v>440.92</v>
      </c>
      <c r="N64" s="153" t="s">
        <v>755</v>
      </c>
      <c r="O64" s="153"/>
      <c r="P64" s="153" t="s">
        <v>898</v>
      </c>
      <c r="Q64" s="153" t="s">
        <v>809</v>
      </c>
      <c r="R64" s="153"/>
      <c r="S64" s="153" t="s">
        <v>899</v>
      </c>
      <c r="T64" s="153"/>
      <c r="U64" s="153">
        <f t="shared" si="1"/>
        <v>363.40999999999997</v>
      </c>
      <c r="V64" s="153"/>
      <c r="W64" s="192">
        <v>789.40536725894299</v>
      </c>
      <c r="X64" s="192">
        <f>116+178.76708</f>
        <v>294.76707999999996</v>
      </c>
      <c r="Y64" s="153" t="s">
        <v>95</v>
      </c>
      <c r="Z64" s="153">
        <v>86075</v>
      </c>
      <c r="AA64" s="192">
        <v>910.01548832424976</v>
      </c>
      <c r="AB64" s="192">
        <f>98+178.76708</f>
        <v>276.76707999999996</v>
      </c>
      <c r="AC64" s="169">
        <f t="shared" si="0"/>
        <v>88345.955015583197</v>
      </c>
      <c r="AD64" s="169"/>
      <c r="AE64" s="169">
        <f t="shared" si="2"/>
        <v>32105803.512213085</v>
      </c>
      <c r="AF64" s="153" t="s">
        <v>95</v>
      </c>
      <c r="AG64" s="153">
        <v>86000</v>
      </c>
      <c r="AH64" s="192">
        <v>927.38659008127627</v>
      </c>
      <c r="AI64" s="192">
        <f>100+178.76708</f>
        <v>278.76707999999996</v>
      </c>
      <c r="AJ64" s="153" t="s">
        <v>95</v>
      </c>
      <c r="AK64" s="153">
        <v>86000</v>
      </c>
      <c r="AL64" s="245"/>
    </row>
    <row r="65" spans="2:38" s="154" customFormat="1" ht="28.5" x14ac:dyDescent="0.45">
      <c r="B65" s="152" t="s">
        <v>296</v>
      </c>
      <c r="C65" s="191" t="s">
        <v>301</v>
      </c>
      <c r="D65" s="191" t="s">
        <v>938</v>
      </c>
      <c r="E65" s="191" t="s">
        <v>939</v>
      </c>
      <c r="F65" s="191" t="s">
        <v>940</v>
      </c>
      <c r="G65" s="130" t="s">
        <v>298</v>
      </c>
      <c r="H65" s="130"/>
      <c r="I65" s="162">
        <v>1997</v>
      </c>
      <c r="J65" s="153"/>
      <c r="K65" s="153"/>
      <c r="L65" s="153"/>
      <c r="M65" s="153"/>
      <c r="N65" s="153" t="s">
        <v>879</v>
      </c>
      <c r="O65" s="153"/>
      <c r="P65" s="153" t="s">
        <v>898</v>
      </c>
      <c r="Q65" s="153" t="s">
        <v>809</v>
      </c>
      <c r="R65" s="153"/>
      <c r="S65" s="153" t="s">
        <v>899</v>
      </c>
      <c r="T65" s="153"/>
      <c r="U65" s="153">
        <f t="shared" si="1"/>
        <v>0</v>
      </c>
      <c r="V65" s="153"/>
      <c r="W65" s="169">
        <v>0</v>
      </c>
      <c r="X65" s="169">
        <v>0</v>
      </c>
      <c r="Y65" s="153" t="s">
        <v>95</v>
      </c>
      <c r="Z65" s="153">
        <v>6940</v>
      </c>
      <c r="AA65" s="169">
        <v>0</v>
      </c>
      <c r="AB65" s="169">
        <v>0</v>
      </c>
      <c r="AC65" s="169">
        <f t="shared" si="0"/>
        <v>6940</v>
      </c>
      <c r="AD65" s="169"/>
      <c r="AE65" s="169">
        <f t="shared" si="2"/>
        <v>0</v>
      </c>
      <c r="AF65" s="153" t="s">
        <v>95</v>
      </c>
      <c r="AG65" s="153">
        <v>7024</v>
      </c>
      <c r="AH65" s="169">
        <v>0</v>
      </c>
      <c r="AI65" s="169">
        <v>0</v>
      </c>
      <c r="AJ65" s="153" t="s">
        <v>95</v>
      </c>
      <c r="AK65" s="153">
        <v>7024</v>
      </c>
      <c r="AL65" s="245"/>
    </row>
    <row r="66" spans="2:38" s="154" customFormat="1" ht="28.5" x14ac:dyDescent="0.45">
      <c r="B66" s="152" t="s">
        <v>296</v>
      </c>
      <c r="C66" s="191" t="s">
        <v>301</v>
      </c>
      <c r="D66" s="191" t="s">
        <v>941</v>
      </c>
      <c r="E66" s="191" t="s">
        <v>942</v>
      </c>
      <c r="F66" s="191" t="s">
        <v>943</v>
      </c>
      <c r="G66" s="130"/>
      <c r="H66" s="130"/>
      <c r="I66" s="162">
        <v>2011</v>
      </c>
      <c r="J66" s="153"/>
      <c r="K66" s="153"/>
      <c r="L66" s="153"/>
      <c r="M66" s="153"/>
      <c r="N66" s="153"/>
      <c r="O66" s="153"/>
      <c r="P66" s="153"/>
      <c r="Q66" s="153"/>
      <c r="R66" s="153" t="s">
        <v>863</v>
      </c>
      <c r="S66" s="153"/>
      <c r="T66" s="153"/>
      <c r="U66" s="153">
        <f t="shared" si="1"/>
        <v>0</v>
      </c>
      <c r="V66" s="153"/>
      <c r="W66" s="169">
        <v>0</v>
      </c>
      <c r="X66" s="169">
        <v>0</v>
      </c>
      <c r="Y66" s="153"/>
      <c r="Z66" s="153"/>
      <c r="AA66" s="169">
        <v>0</v>
      </c>
      <c r="AB66" s="169">
        <v>0</v>
      </c>
      <c r="AC66" s="169">
        <f t="shared" si="0"/>
        <v>0</v>
      </c>
      <c r="AD66" s="169"/>
      <c r="AE66" s="169">
        <f t="shared" si="2"/>
        <v>0</v>
      </c>
      <c r="AF66" s="153"/>
      <c r="AG66" s="153"/>
      <c r="AH66" s="169">
        <v>0</v>
      </c>
      <c r="AI66" s="169">
        <v>0</v>
      </c>
      <c r="AJ66" s="153"/>
      <c r="AK66" s="153"/>
      <c r="AL66" s="246"/>
    </row>
    <row r="67" spans="2:38" s="154" customFormat="1" ht="28.5" x14ac:dyDescent="0.45">
      <c r="B67" s="152" t="s">
        <v>296</v>
      </c>
      <c r="C67" s="191" t="s">
        <v>301</v>
      </c>
      <c r="D67" s="191" t="s">
        <v>944</v>
      </c>
      <c r="E67" s="191" t="s">
        <v>945</v>
      </c>
      <c r="F67" s="191" t="s">
        <v>946</v>
      </c>
      <c r="G67" s="130"/>
      <c r="H67" s="130"/>
      <c r="I67" s="162">
        <v>1997</v>
      </c>
      <c r="J67" s="153"/>
      <c r="K67" s="153"/>
      <c r="L67" s="153"/>
      <c r="M67" s="153"/>
      <c r="N67" s="153"/>
      <c r="O67" s="153"/>
      <c r="P67" s="153"/>
      <c r="Q67" s="153"/>
      <c r="R67" s="153" t="s">
        <v>819</v>
      </c>
      <c r="S67" s="153"/>
      <c r="T67" s="153"/>
      <c r="U67" s="153">
        <f t="shared" si="1"/>
        <v>0</v>
      </c>
      <c r="V67" s="153"/>
      <c r="W67" s="169">
        <v>0</v>
      </c>
      <c r="X67" s="169">
        <v>0</v>
      </c>
      <c r="Y67" s="153"/>
      <c r="Z67" s="153"/>
      <c r="AA67" s="169">
        <v>0</v>
      </c>
      <c r="AB67" s="169">
        <v>0</v>
      </c>
      <c r="AC67" s="169">
        <f t="shared" si="0"/>
        <v>0</v>
      </c>
      <c r="AD67" s="169"/>
      <c r="AE67" s="169">
        <f t="shared" si="2"/>
        <v>0</v>
      </c>
      <c r="AF67" s="153"/>
      <c r="AG67" s="153"/>
      <c r="AH67" s="169">
        <v>0</v>
      </c>
      <c r="AI67" s="169">
        <v>0</v>
      </c>
      <c r="AJ67" s="153"/>
      <c r="AK67" s="153"/>
      <c r="AL67" s="246"/>
    </row>
    <row r="68" spans="2:38" s="154" customFormat="1" ht="42.75" x14ac:dyDescent="0.45">
      <c r="B68" s="152" t="s">
        <v>296</v>
      </c>
      <c r="C68" s="191" t="s">
        <v>301</v>
      </c>
      <c r="D68" s="191" t="s">
        <v>947</v>
      </c>
      <c r="E68" s="191" t="s">
        <v>813</v>
      </c>
      <c r="F68" s="191" t="s">
        <v>948</v>
      </c>
      <c r="G68" s="130"/>
      <c r="H68" s="130"/>
      <c r="I68" s="162">
        <v>1997</v>
      </c>
      <c r="J68" s="153"/>
      <c r="K68" s="153"/>
      <c r="L68" s="153">
        <v>0</v>
      </c>
      <c r="M68" s="153">
        <v>0</v>
      </c>
      <c r="N68" s="153"/>
      <c r="O68" s="153"/>
      <c r="P68" s="153"/>
      <c r="Q68" s="153" t="s">
        <v>949</v>
      </c>
      <c r="R68" s="153"/>
      <c r="S68" s="153"/>
      <c r="T68" s="153"/>
      <c r="U68" s="153">
        <f t="shared" si="1"/>
        <v>0</v>
      </c>
      <c r="V68" s="153"/>
      <c r="W68" s="169">
        <v>0</v>
      </c>
      <c r="X68" s="169">
        <v>0</v>
      </c>
      <c r="Y68" s="153" t="s">
        <v>95</v>
      </c>
      <c r="Z68" s="153">
        <v>405</v>
      </c>
      <c r="AA68" s="169">
        <v>0</v>
      </c>
      <c r="AB68" s="169">
        <v>0</v>
      </c>
      <c r="AC68" s="169">
        <f t="shared" si="0"/>
        <v>405</v>
      </c>
      <c r="AD68" s="169"/>
      <c r="AE68" s="169">
        <f t="shared" si="2"/>
        <v>0</v>
      </c>
      <c r="AF68" s="153" t="s">
        <v>95</v>
      </c>
      <c r="AG68" s="153">
        <v>330</v>
      </c>
      <c r="AH68" s="169">
        <v>0</v>
      </c>
      <c r="AI68" s="169">
        <v>0</v>
      </c>
      <c r="AJ68" s="153" t="s">
        <v>95</v>
      </c>
      <c r="AK68" s="153">
        <v>330</v>
      </c>
      <c r="AL68" s="245" t="s">
        <v>950</v>
      </c>
    </row>
    <row r="69" spans="2:38" s="154" customFormat="1" ht="42.75" x14ac:dyDescent="0.45">
      <c r="B69" s="152" t="s">
        <v>292</v>
      </c>
      <c r="C69" s="191" t="s">
        <v>305</v>
      </c>
      <c r="D69" s="191" t="s">
        <v>951</v>
      </c>
      <c r="E69" s="191" t="s">
        <v>952</v>
      </c>
      <c r="F69" s="191" t="s">
        <v>953</v>
      </c>
      <c r="G69" s="130"/>
      <c r="H69" s="130"/>
      <c r="I69" s="162">
        <v>1998</v>
      </c>
      <c r="J69" s="153"/>
      <c r="K69" s="153"/>
      <c r="L69" s="153"/>
      <c r="M69" s="153"/>
      <c r="N69" s="153"/>
      <c r="O69" s="153"/>
      <c r="P69" s="153"/>
      <c r="Q69" s="153"/>
      <c r="R69" s="153" t="s">
        <v>954</v>
      </c>
      <c r="S69" s="153"/>
      <c r="T69" s="153"/>
      <c r="U69" s="153">
        <f t="shared" si="1"/>
        <v>0</v>
      </c>
      <c r="V69" s="153">
        <f>SUM(AE69:AE88)/AD69</f>
        <v>164.84879168761856</v>
      </c>
      <c r="W69" s="192">
        <v>8320.2462970986307</v>
      </c>
      <c r="X69" s="192">
        <f>65+113.81394</f>
        <v>178.81394</v>
      </c>
      <c r="Y69" s="153" t="s">
        <v>95</v>
      </c>
      <c r="Z69" s="153">
        <v>17977</v>
      </c>
      <c r="AA69" s="192">
        <v>7484.3549399861822</v>
      </c>
      <c r="AB69" s="192">
        <v>2851.81394</v>
      </c>
      <c r="AC69" s="169">
        <f t="shared" ref="AC69" si="3">SUM(W69:AB69)</f>
        <v>36812.229117084811</v>
      </c>
      <c r="AD69" s="169">
        <f>SUM(AC69:AC88)</f>
        <v>692904.53071708488</v>
      </c>
      <c r="AE69" s="169">
        <f>U69*AC69</f>
        <v>0</v>
      </c>
      <c r="AF69" s="153"/>
      <c r="AG69" s="153"/>
      <c r="AH69" s="169">
        <v>0</v>
      </c>
      <c r="AI69" s="169">
        <v>0</v>
      </c>
      <c r="AJ69" s="153"/>
      <c r="AK69" s="153"/>
      <c r="AL69" s="246"/>
    </row>
    <row r="70" spans="2:38" s="154" customFormat="1" ht="42.75" x14ac:dyDescent="0.45">
      <c r="B70" s="152" t="s">
        <v>287</v>
      </c>
      <c r="C70" s="191" t="s">
        <v>305</v>
      </c>
      <c r="D70" s="191" t="s">
        <v>955</v>
      </c>
      <c r="E70" s="191" t="s">
        <v>954</v>
      </c>
      <c r="F70" s="191" t="s">
        <v>956</v>
      </c>
      <c r="G70" s="130" t="s">
        <v>290</v>
      </c>
      <c r="H70" s="130"/>
      <c r="I70" s="162">
        <v>1998</v>
      </c>
      <c r="J70" s="153">
        <v>3.04</v>
      </c>
      <c r="K70" s="153"/>
      <c r="L70" s="153">
        <v>128.44</v>
      </c>
      <c r="M70" s="153">
        <v>230.3</v>
      </c>
      <c r="N70" s="153" t="s">
        <v>755</v>
      </c>
      <c r="O70" s="153"/>
      <c r="P70" s="153" t="s">
        <v>898</v>
      </c>
      <c r="Q70" s="153" t="s">
        <v>757</v>
      </c>
      <c r="R70" s="153"/>
      <c r="S70" s="153" t="s">
        <v>899</v>
      </c>
      <c r="T70" s="153"/>
      <c r="U70" s="153">
        <f t="shared" si="1"/>
        <v>179.37</v>
      </c>
      <c r="V70" s="153"/>
      <c r="W70" s="169">
        <v>0</v>
      </c>
      <c r="X70" s="192">
        <v>57790.563680000007</v>
      </c>
      <c r="Y70" s="153" t="s">
        <v>95</v>
      </c>
      <c r="Z70" s="153">
        <v>451207</v>
      </c>
      <c r="AA70" s="169">
        <v>0</v>
      </c>
      <c r="AB70" s="192">
        <v>49765</v>
      </c>
      <c r="AC70" s="169">
        <f t="shared" si="0"/>
        <v>558762.56368000002</v>
      </c>
      <c r="AD70" s="169"/>
      <c r="AE70" s="169">
        <f t="shared" ref="AE70:AE88" si="4">U70*AC70</f>
        <v>100225241.04728161</v>
      </c>
      <c r="AF70" s="153" t="s">
        <v>95</v>
      </c>
      <c r="AG70" s="153">
        <v>455000</v>
      </c>
      <c r="AH70" s="169">
        <v>0</v>
      </c>
      <c r="AI70" s="192">
        <v>49765</v>
      </c>
      <c r="AJ70" s="153" t="s">
        <v>95</v>
      </c>
      <c r="AK70" s="153">
        <v>455000</v>
      </c>
      <c r="AL70" s="245"/>
    </row>
    <row r="71" spans="2:38" s="154" customFormat="1" ht="42.75" x14ac:dyDescent="0.45">
      <c r="B71" s="152" t="s">
        <v>287</v>
      </c>
      <c r="C71" s="191" t="s">
        <v>305</v>
      </c>
      <c r="D71" s="191" t="s">
        <v>957</v>
      </c>
      <c r="E71" s="191" t="s">
        <v>958</v>
      </c>
      <c r="F71" s="191" t="s">
        <v>959</v>
      </c>
      <c r="G71" s="130"/>
      <c r="H71" s="130"/>
      <c r="I71" s="162">
        <v>1998</v>
      </c>
      <c r="J71" s="153"/>
      <c r="K71" s="153"/>
      <c r="L71" s="153"/>
      <c r="M71" s="153"/>
      <c r="N71" s="153"/>
      <c r="O71" s="153"/>
      <c r="P71" s="153"/>
      <c r="Q71" s="153"/>
      <c r="R71" s="153" t="s">
        <v>954</v>
      </c>
      <c r="S71" s="153"/>
      <c r="T71" s="153"/>
      <c r="U71" s="153">
        <f t="shared" si="1"/>
        <v>0</v>
      </c>
      <c r="V71" s="153"/>
      <c r="W71" s="169">
        <v>0</v>
      </c>
      <c r="X71" s="169">
        <v>0</v>
      </c>
      <c r="Y71" s="153"/>
      <c r="Z71" s="153"/>
      <c r="AA71" s="169">
        <v>0</v>
      </c>
      <c r="AB71" s="169">
        <v>0</v>
      </c>
      <c r="AC71" s="169">
        <f t="shared" si="0"/>
        <v>0</v>
      </c>
      <c r="AD71" s="169"/>
      <c r="AE71" s="169">
        <f t="shared" si="4"/>
        <v>0</v>
      </c>
      <c r="AF71" s="153"/>
      <c r="AG71" s="153"/>
      <c r="AH71" s="169">
        <v>0</v>
      </c>
      <c r="AI71" s="169">
        <v>0</v>
      </c>
      <c r="AJ71" s="153"/>
      <c r="AK71" s="153"/>
      <c r="AL71" s="246"/>
    </row>
    <row r="72" spans="2:38" s="154" customFormat="1" ht="42.75" x14ac:dyDescent="0.45">
      <c r="B72" s="152" t="s">
        <v>292</v>
      </c>
      <c r="C72" s="191" t="s">
        <v>305</v>
      </c>
      <c r="D72" s="191" t="s">
        <v>960</v>
      </c>
      <c r="E72" s="191" t="s">
        <v>961</v>
      </c>
      <c r="F72" s="191" t="s">
        <v>962</v>
      </c>
      <c r="G72" s="130"/>
      <c r="H72" s="130"/>
      <c r="I72" s="162">
        <v>1998</v>
      </c>
      <c r="J72" s="153"/>
      <c r="K72" s="153"/>
      <c r="L72" s="153"/>
      <c r="M72" s="153"/>
      <c r="N72" s="153"/>
      <c r="O72" s="153"/>
      <c r="P72" s="153"/>
      <c r="Q72" s="153"/>
      <c r="R72" s="153" t="s">
        <v>954</v>
      </c>
      <c r="S72" s="153"/>
      <c r="T72" s="153"/>
      <c r="U72" s="153">
        <f t="shared" si="1"/>
        <v>0</v>
      </c>
      <c r="V72" s="153"/>
      <c r="W72" s="169">
        <v>0</v>
      </c>
      <c r="X72" s="169">
        <v>0</v>
      </c>
      <c r="Y72" s="153"/>
      <c r="Z72" s="153"/>
      <c r="AA72" s="169">
        <v>0</v>
      </c>
      <c r="AB72" s="169">
        <v>0</v>
      </c>
      <c r="AC72" s="169">
        <f t="shared" si="0"/>
        <v>0</v>
      </c>
      <c r="AD72" s="169"/>
      <c r="AE72" s="169">
        <f t="shared" si="4"/>
        <v>0</v>
      </c>
      <c r="AF72" s="153"/>
      <c r="AG72" s="153"/>
      <c r="AH72" s="169">
        <v>0</v>
      </c>
      <c r="AI72" s="169">
        <v>0</v>
      </c>
      <c r="AJ72" s="153"/>
      <c r="AK72" s="153"/>
      <c r="AL72" s="246"/>
    </row>
    <row r="73" spans="2:38" s="154" customFormat="1" ht="42.75" x14ac:dyDescent="0.45">
      <c r="B73" s="152" t="s">
        <v>292</v>
      </c>
      <c r="C73" s="191" t="s">
        <v>305</v>
      </c>
      <c r="D73" s="191" t="s">
        <v>963</v>
      </c>
      <c r="E73" s="191" t="s">
        <v>964</v>
      </c>
      <c r="F73" s="191" t="s">
        <v>965</v>
      </c>
      <c r="G73" s="130" t="s">
        <v>290</v>
      </c>
      <c r="H73" s="130"/>
      <c r="I73" s="162">
        <v>2019</v>
      </c>
      <c r="J73" s="153"/>
      <c r="K73" s="153"/>
      <c r="L73" s="153"/>
      <c r="M73" s="153">
        <v>28.58</v>
      </c>
      <c r="N73" s="153" t="s">
        <v>798</v>
      </c>
      <c r="O73" s="153" t="s">
        <v>799</v>
      </c>
      <c r="P73" s="153" t="s">
        <v>756</v>
      </c>
      <c r="Q73" s="153" t="s">
        <v>757</v>
      </c>
      <c r="R73" s="153"/>
      <c r="S73" s="153" t="s">
        <v>966</v>
      </c>
      <c r="T73" s="153"/>
      <c r="U73" s="153">
        <f t="shared" si="1"/>
        <v>14.29</v>
      </c>
      <c r="V73" s="153"/>
      <c r="W73" s="169">
        <v>0</v>
      </c>
      <c r="X73" s="192">
        <v>5805.0607399999999</v>
      </c>
      <c r="Y73" s="153" t="s">
        <v>95</v>
      </c>
      <c r="Z73" s="194">
        <v>324</v>
      </c>
      <c r="AA73" s="179">
        <v>0</v>
      </c>
      <c r="AB73" s="192">
        <v>6206.2369200000003</v>
      </c>
      <c r="AC73" s="169">
        <f t="shared" ref="AC73:AC118" si="5">SUM(W73:AB73)</f>
        <v>12335.29766</v>
      </c>
      <c r="AD73" s="169"/>
      <c r="AE73" s="169">
        <f t="shared" si="4"/>
        <v>176271.40356139999</v>
      </c>
      <c r="AF73" s="153" t="s">
        <v>95</v>
      </c>
      <c r="AG73" s="153">
        <v>500</v>
      </c>
      <c r="AH73" s="169">
        <v>0</v>
      </c>
      <c r="AI73" s="192">
        <v>6206.2369200000003</v>
      </c>
      <c r="AJ73" s="153" t="s">
        <v>95</v>
      </c>
      <c r="AK73" s="153">
        <v>500</v>
      </c>
      <c r="AL73" s="245"/>
    </row>
    <row r="74" spans="2:38" s="154" customFormat="1" ht="42.75" x14ac:dyDescent="0.45">
      <c r="B74" s="152" t="s">
        <v>287</v>
      </c>
      <c r="C74" s="191" t="s">
        <v>305</v>
      </c>
      <c r="D74" s="191" t="s">
        <v>967</v>
      </c>
      <c r="E74" s="191" t="s">
        <v>903</v>
      </c>
      <c r="F74" s="191" t="s">
        <v>968</v>
      </c>
      <c r="G74" s="130"/>
      <c r="H74" s="130"/>
      <c r="I74" s="162">
        <v>1998</v>
      </c>
      <c r="J74" s="153"/>
      <c r="K74" s="153"/>
      <c r="L74" s="153"/>
      <c r="M74" s="153"/>
      <c r="N74" s="153"/>
      <c r="O74" s="153"/>
      <c r="P74" s="153"/>
      <c r="Q74" s="153"/>
      <c r="R74" s="153" t="s">
        <v>954</v>
      </c>
      <c r="S74" s="153"/>
      <c r="T74" s="153"/>
      <c r="U74" s="153">
        <f t="shared" si="1"/>
        <v>0</v>
      </c>
      <c r="V74" s="153"/>
      <c r="W74" s="169">
        <v>0</v>
      </c>
      <c r="X74" s="169">
        <v>0</v>
      </c>
      <c r="Y74" s="153"/>
      <c r="Z74" s="153"/>
      <c r="AA74" s="169">
        <v>0</v>
      </c>
      <c r="AB74" s="169">
        <v>0</v>
      </c>
      <c r="AC74" s="169">
        <f t="shared" si="5"/>
        <v>0</v>
      </c>
      <c r="AD74" s="169"/>
      <c r="AE74" s="169">
        <f t="shared" si="4"/>
        <v>0</v>
      </c>
      <c r="AF74" s="153"/>
      <c r="AG74" s="153"/>
      <c r="AH74" s="169">
        <v>0</v>
      </c>
      <c r="AI74" s="169">
        <v>0</v>
      </c>
      <c r="AJ74" s="153"/>
      <c r="AK74" s="153"/>
      <c r="AL74" s="246"/>
    </row>
    <row r="75" spans="2:38" s="154" customFormat="1" ht="42.75" x14ac:dyDescent="0.45">
      <c r="B75" s="152" t="s">
        <v>287</v>
      </c>
      <c r="C75" s="191" t="s">
        <v>305</v>
      </c>
      <c r="D75" s="191" t="s">
        <v>969</v>
      </c>
      <c r="E75" s="191" t="s">
        <v>970</v>
      </c>
      <c r="F75" s="191" t="s">
        <v>971</v>
      </c>
      <c r="G75" s="130"/>
      <c r="H75" s="130"/>
      <c r="I75" s="162">
        <v>2019</v>
      </c>
      <c r="J75" s="153"/>
      <c r="K75" s="153"/>
      <c r="L75" s="153"/>
      <c r="M75" s="153"/>
      <c r="N75" s="153"/>
      <c r="O75" s="153"/>
      <c r="P75" s="153"/>
      <c r="Q75" s="153"/>
      <c r="R75" s="153" t="s">
        <v>954</v>
      </c>
      <c r="S75" s="153"/>
      <c r="T75" s="153"/>
      <c r="U75" s="153">
        <f t="shared" si="1"/>
        <v>0</v>
      </c>
      <c r="V75" s="153"/>
      <c r="W75" s="169">
        <v>0</v>
      </c>
      <c r="X75" s="169">
        <v>0</v>
      </c>
      <c r="Y75" s="153"/>
      <c r="Z75" s="153"/>
      <c r="AA75" s="169">
        <v>0</v>
      </c>
      <c r="AB75" s="169">
        <v>0</v>
      </c>
      <c r="AC75" s="169">
        <f t="shared" si="5"/>
        <v>0</v>
      </c>
      <c r="AD75" s="169"/>
      <c r="AE75" s="169">
        <f t="shared" si="4"/>
        <v>0</v>
      </c>
      <c r="AF75" s="153"/>
      <c r="AG75" s="153"/>
      <c r="AH75" s="169">
        <v>0</v>
      </c>
      <c r="AI75" s="169">
        <v>0</v>
      </c>
      <c r="AJ75" s="153"/>
      <c r="AK75" s="153"/>
      <c r="AL75" s="246"/>
    </row>
    <row r="76" spans="2:38" s="154" customFormat="1" ht="42.75" x14ac:dyDescent="0.45">
      <c r="B76" s="152" t="s">
        <v>287</v>
      </c>
      <c r="C76" s="191" t="s">
        <v>305</v>
      </c>
      <c r="D76" s="191" t="s">
        <v>972</v>
      </c>
      <c r="E76" s="191" t="s">
        <v>973</v>
      </c>
      <c r="F76" s="191" t="s">
        <v>974</v>
      </c>
      <c r="G76" s="130"/>
      <c r="H76" s="130"/>
      <c r="I76" s="162">
        <v>2019</v>
      </c>
      <c r="J76" s="153"/>
      <c r="K76" s="153"/>
      <c r="L76" s="153"/>
      <c r="M76" s="153"/>
      <c r="N76" s="153"/>
      <c r="O76" s="153"/>
      <c r="P76" s="153"/>
      <c r="Q76" s="153"/>
      <c r="R76" s="153" t="s">
        <v>954</v>
      </c>
      <c r="S76" s="153"/>
      <c r="T76" s="153"/>
      <c r="U76" s="153">
        <f t="shared" si="1"/>
        <v>0</v>
      </c>
      <c r="V76" s="153"/>
      <c r="W76" s="169">
        <v>0</v>
      </c>
      <c r="X76" s="169">
        <v>0</v>
      </c>
      <c r="Y76" s="153"/>
      <c r="Z76" s="153"/>
      <c r="AA76" s="169">
        <v>0</v>
      </c>
      <c r="AB76" s="169">
        <v>0</v>
      </c>
      <c r="AC76" s="169">
        <f t="shared" si="5"/>
        <v>0</v>
      </c>
      <c r="AD76" s="169"/>
      <c r="AE76" s="169">
        <f t="shared" si="4"/>
        <v>0</v>
      </c>
      <c r="AF76" s="153"/>
      <c r="AG76" s="153"/>
      <c r="AH76" s="169">
        <v>0</v>
      </c>
      <c r="AI76" s="169">
        <v>0</v>
      </c>
      <c r="AJ76" s="153"/>
      <c r="AK76" s="153"/>
      <c r="AL76" s="246"/>
    </row>
    <row r="77" spans="2:38" s="154" customFormat="1" ht="57" x14ac:dyDescent="0.45">
      <c r="B77" s="152" t="s">
        <v>287</v>
      </c>
      <c r="C77" s="191" t="s">
        <v>305</v>
      </c>
      <c r="D77" s="191" t="s">
        <v>975</v>
      </c>
      <c r="E77" s="191" t="s">
        <v>976</v>
      </c>
      <c r="F77" s="191" t="s">
        <v>977</v>
      </c>
      <c r="G77" s="130" t="s">
        <v>290</v>
      </c>
      <c r="H77" s="130"/>
      <c r="I77" s="162">
        <v>2019</v>
      </c>
      <c r="J77" s="153"/>
      <c r="K77" s="153"/>
      <c r="L77" s="153">
        <v>66.930000000000007</v>
      </c>
      <c r="M77" s="153">
        <v>119.84</v>
      </c>
      <c r="N77" s="153" t="s">
        <v>755</v>
      </c>
      <c r="O77" s="153"/>
      <c r="P77" s="153" t="s">
        <v>756</v>
      </c>
      <c r="Q77" s="153" t="s">
        <v>757</v>
      </c>
      <c r="R77" s="153"/>
      <c r="S77" s="153" t="s">
        <v>978</v>
      </c>
      <c r="T77" s="153"/>
      <c r="U77" s="153">
        <f t="shared" si="1"/>
        <v>93.385000000000005</v>
      </c>
      <c r="V77" s="153"/>
      <c r="W77" s="169">
        <v>0</v>
      </c>
      <c r="X77" s="192">
        <v>10235</v>
      </c>
      <c r="Y77" s="153" t="s">
        <v>95</v>
      </c>
      <c r="Z77" s="153">
        <v>17095</v>
      </c>
      <c r="AA77" s="169">
        <v>0</v>
      </c>
      <c r="AB77" s="192">
        <v>10235</v>
      </c>
      <c r="AC77" s="169">
        <f t="shared" si="5"/>
        <v>37565</v>
      </c>
      <c r="AD77" s="169"/>
      <c r="AE77" s="169">
        <f t="shared" si="4"/>
        <v>3508007.5250000004</v>
      </c>
      <c r="AF77" s="153" t="s">
        <v>95</v>
      </c>
      <c r="AG77" s="153">
        <v>17000</v>
      </c>
      <c r="AH77" s="169"/>
      <c r="AI77" s="192">
        <v>10235</v>
      </c>
      <c r="AJ77" s="153" t="s">
        <v>95</v>
      </c>
      <c r="AK77" s="153">
        <v>17000</v>
      </c>
      <c r="AL77" s="245"/>
    </row>
    <row r="78" spans="2:38" s="154" customFormat="1" ht="57" x14ac:dyDescent="0.45">
      <c r="B78" s="152" t="s">
        <v>287</v>
      </c>
      <c r="C78" s="191" t="s">
        <v>305</v>
      </c>
      <c r="D78" s="191" t="s">
        <v>979</v>
      </c>
      <c r="E78" s="191" t="s">
        <v>980</v>
      </c>
      <c r="F78" s="191" t="s">
        <v>981</v>
      </c>
      <c r="G78" s="130"/>
      <c r="H78" s="130"/>
      <c r="I78" s="162">
        <v>2019</v>
      </c>
      <c r="J78" s="153"/>
      <c r="K78" s="153"/>
      <c r="L78" s="153"/>
      <c r="M78" s="153"/>
      <c r="N78" s="153"/>
      <c r="O78" s="153"/>
      <c r="P78" s="153"/>
      <c r="Q78" s="153"/>
      <c r="R78" s="153" t="s">
        <v>976</v>
      </c>
      <c r="S78" s="153"/>
      <c r="T78" s="153"/>
      <c r="U78" s="153">
        <f t="shared" si="1"/>
        <v>0</v>
      </c>
      <c r="V78" s="153"/>
      <c r="W78" s="169">
        <v>0</v>
      </c>
      <c r="X78" s="169">
        <v>0</v>
      </c>
      <c r="Y78" s="153"/>
      <c r="Z78" s="153"/>
      <c r="AA78" s="169">
        <v>0</v>
      </c>
      <c r="AB78" s="169">
        <v>0</v>
      </c>
      <c r="AC78" s="169">
        <f t="shared" si="5"/>
        <v>0</v>
      </c>
      <c r="AD78" s="169"/>
      <c r="AE78" s="169">
        <f t="shared" si="4"/>
        <v>0</v>
      </c>
      <c r="AF78" s="153"/>
      <c r="AG78" s="153"/>
      <c r="AH78" s="169">
        <v>0</v>
      </c>
      <c r="AI78" s="169">
        <v>0</v>
      </c>
      <c r="AJ78" s="153"/>
      <c r="AK78" s="153"/>
      <c r="AL78" s="246"/>
    </row>
    <row r="79" spans="2:38" s="154" customFormat="1" ht="42.75" x14ac:dyDescent="0.45">
      <c r="B79" s="152" t="s">
        <v>287</v>
      </c>
      <c r="C79" s="191" t="s">
        <v>305</v>
      </c>
      <c r="D79" s="191" t="s">
        <v>982</v>
      </c>
      <c r="E79" s="191" t="s">
        <v>983</v>
      </c>
      <c r="F79" s="191" t="s">
        <v>984</v>
      </c>
      <c r="G79" s="130"/>
      <c r="H79" s="130"/>
      <c r="I79" s="162">
        <v>1998</v>
      </c>
      <c r="J79" s="153"/>
      <c r="K79" s="153"/>
      <c r="L79" s="153"/>
      <c r="M79" s="153"/>
      <c r="N79" s="153"/>
      <c r="O79" s="153"/>
      <c r="P79" s="153"/>
      <c r="Q79" s="153"/>
      <c r="R79" s="153" t="s">
        <v>954</v>
      </c>
      <c r="S79" s="153"/>
      <c r="T79" s="153"/>
      <c r="U79" s="153">
        <f t="shared" si="1"/>
        <v>0</v>
      </c>
      <c r="V79" s="153"/>
      <c r="W79" s="169">
        <v>0</v>
      </c>
      <c r="X79" s="169">
        <v>0</v>
      </c>
      <c r="Y79" s="153"/>
      <c r="Z79" s="153"/>
      <c r="AA79" s="169">
        <v>0</v>
      </c>
      <c r="AB79" s="169">
        <v>0</v>
      </c>
      <c r="AC79" s="169">
        <f t="shared" si="5"/>
        <v>0</v>
      </c>
      <c r="AD79" s="169"/>
      <c r="AE79" s="169">
        <f t="shared" si="4"/>
        <v>0</v>
      </c>
      <c r="AF79" s="153"/>
      <c r="AG79" s="153"/>
      <c r="AH79" s="169">
        <v>0</v>
      </c>
      <c r="AI79" s="169">
        <v>0</v>
      </c>
      <c r="AJ79" s="153"/>
      <c r="AK79" s="153"/>
      <c r="AL79" s="246"/>
    </row>
    <row r="80" spans="2:38" s="154" customFormat="1" ht="42.75" x14ac:dyDescent="0.45">
      <c r="B80" s="152" t="s">
        <v>287</v>
      </c>
      <c r="C80" s="191" t="s">
        <v>305</v>
      </c>
      <c r="D80" s="191" t="s">
        <v>985</v>
      </c>
      <c r="E80" s="191" t="s">
        <v>986</v>
      </c>
      <c r="F80" s="191" t="s">
        <v>987</v>
      </c>
      <c r="G80" s="130"/>
      <c r="H80" s="130"/>
      <c r="I80" s="162">
        <v>1998</v>
      </c>
      <c r="J80" s="153"/>
      <c r="K80" s="153"/>
      <c r="L80" s="153"/>
      <c r="M80" s="153"/>
      <c r="N80" s="153"/>
      <c r="O80" s="153"/>
      <c r="P80" s="153"/>
      <c r="Q80" s="153"/>
      <c r="R80" s="153" t="s">
        <v>954</v>
      </c>
      <c r="S80" s="153"/>
      <c r="T80" s="153"/>
      <c r="U80" s="153">
        <f t="shared" si="1"/>
        <v>0</v>
      </c>
      <c r="V80" s="153"/>
      <c r="W80" s="169">
        <v>0</v>
      </c>
      <c r="X80" s="169">
        <v>0</v>
      </c>
      <c r="Y80" s="153"/>
      <c r="Z80" s="153"/>
      <c r="AA80" s="169">
        <v>0</v>
      </c>
      <c r="AB80" s="169">
        <v>0</v>
      </c>
      <c r="AC80" s="169">
        <f t="shared" si="5"/>
        <v>0</v>
      </c>
      <c r="AD80" s="169"/>
      <c r="AE80" s="169">
        <f t="shared" si="4"/>
        <v>0</v>
      </c>
      <c r="AF80" s="153"/>
      <c r="AG80" s="153"/>
      <c r="AH80" s="169">
        <v>0</v>
      </c>
      <c r="AI80" s="169">
        <v>0</v>
      </c>
      <c r="AJ80" s="153"/>
      <c r="AK80" s="153"/>
      <c r="AL80" s="246"/>
    </row>
    <row r="81" spans="2:38" s="154" customFormat="1" ht="42.75" x14ac:dyDescent="0.45">
      <c r="B81" s="152" t="s">
        <v>287</v>
      </c>
      <c r="C81" s="191" t="s">
        <v>305</v>
      </c>
      <c r="D81" s="191" t="s">
        <v>988</v>
      </c>
      <c r="E81" s="191" t="s">
        <v>989</v>
      </c>
      <c r="F81" s="191" t="s">
        <v>990</v>
      </c>
      <c r="G81" s="130"/>
      <c r="H81" s="130"/>
      <c r="I81" s="162">
        <v>1998</v>
      </c>
      <c r="J81" s="153"/>
      <c r="K81" s="153"/>
      <c r="L81" s="153"/>
      <c r="M81" s="153"/>
      <c r="N81" s="153"/>
      <c r="O81" s="153"/>
      <c r="P81" s="153"/>
      <c r="Q81" s="153"/>
      <c r="R81" s="153" t="s">
        <v>954</v>
      </c>
      <c r="S81" s="153"/>
      <c r="T81" s="153"/>
      <c r="U81" s="153">
        <f t="shared" si="1"/>
        <v>0</v>
      </c>
      <c r="V81" s="153"/>
      <c r="W81" s="169">
        <v>0</v>
      </c>
      <c r="X81" s="169">
        <v>0</v>
      </c>
      <c r="Y81" s="153"/>
      <c r="Z81" s="153"/>
      <c r="AA81" s="169">
        <v>0</v>
      </c>
      <c r="AB81" s="169">
        <v>0</v>
      </c>
      <c r="AC81" s="169">
        <f t="shared" si="5"/>
        <v>0</v>
      </c>
      <c r="AD81" s="169"/>
      <c r="AE81" s="169">
        <f t="shared" si="4"/>
        <v>0</v>
      </c>
      <c r="AF81" s="153"/>
      <c r="AG81" s="153"/>
      <c r="AH81" s="169">
        <v>0</v>
      </c>
      <c r="AI81" s="169">
        <v>0</v>
      </c>
      <c r="AJ81" s="153"/>
      <c r="AK81" s="153"/>
      <c r="AL81" s="246"/>
    </row>
    <row r="82" spans="2:38" s="154" customFormat="1" ht="42.75" x14ac:dyDescent="0.45">
      <c r="B82" s="152" t="s">
        <v>292</v>
      </c>
      <c r="C82" s="191" t="s">
        <v>305</v>
      </c>
      <c r="D82" s="191" t="s">
        <v>991</v>
      </c>
      <c r="E82" s="191" t="s">
        <v>992</v>
      </c>
      <c r="F82" s="191" t="s">
        <v>993</v>
      </c>
      <c r="G82" s="130"/>
      <c r="H82" s="130"/>
      <c r="I82" s="162">
        <v>1998</v>
      </c>
      <c r="J82" s="153"/>
      <c r="K82" s="153"/>
      <c r="L82" s="153"/>
      <c r="M82" s="153"/>
      <c r="N82" s="153"/>
      <c r="O82" s="153"/>
      <c r="P82" s="153"/>
      <c r="Q82" s="153"/>
      <c r="R82" s="153" t="s">
        <v>954</v>
      </c>
      <c r="S82" s="153"/>
      <c r="T82" s="153"/>
      <c r="U82" s="153">
        <f t="shared" si="1"/>
        <v>0</v>
      </c>
      <c r="V82" s="153"/>
      <c r="W82" s="169">
        <v>0</v>
      </c>
      <c r="X82" s="169">
        <v>0</v>
      </c>
      <c r="Y82" s="153"/>
      <c r="Z82" s="153"/>
      <c r="AA82" s="169">
        <v>0</v>
      </c>
      <c r="AB82" s="169">
        <v>0</v>
      </c>
      <c r="AC82" s="169">
        <f t="shared" si="5"/>
        <v>0</v>
      </c>
      <c r="AD82" s="169"/>
      <c r="AE82" s="169">
        <f t="shared" si="4"/>
        <v>0</v>
      </c>
      <c r="AF82" s="153"/>
      <c r="AG82" s="153"/>
      <c r="AH82" s="169">
        <v>0</v>
      </c>
      <c r="AI82" s="169">
        <v>0</v>
      </c>
      <c r="AJ82" s="153"/>
      <c r="AK82" s="153"/>
      <c r="AL82" s="246"/>
    </row>
    <row r="83" spans="2:38" s="154" customFormat="1" ht="57" x14ac:dyDescent="0.45">
      <c r="B83" s="152" t="s">
        <v>292</v>
      </c>
      <c r="C83" s="191" t="s">
        <v>305</v>
      </c>
      <c r="D83" s="191" t="s">
        <v>994</v>
      </c>
      <c r="E83" s="191" t="s">
        <v>995</v>
      </c>
      <c r="F83" s="191" t="s">
        <v>996</v>
      </c>
      <c r="G83" s="130"/>
      <c r="H83" s="130"/>
      <c r="I83" s="162">
        <v>2019</v>
      </c>
      <c r="J83" s="153"/>
      <c r="K83" s="153"/>
      <c r="L83" s="153"/>
      <c r="M83" s="153"/>
      <c r="N83" s="153"/>
      <c r="O83" s="153"/>
      <c r="P83" s="153"/>
      <c r="Q83" s="153"/>
      <c r="R83" s="153" t="s">
        <v>976</v>
      </c>
      <c r="S83" s="153"/>
      <c r="T83" s="153"/>
      <c r="U83" s="153">
        <f t="shared" si="1"/>
        <v>0</v>
      </c>
      <c r="V83" s="153"/>
      <c r="W83" s="169">
        <v>0</v>
      </c>
      <c r="X83" s="169">
        <v>0</v>
      </c>
      <c r="Y83" s="153"/>
      <c r="Z83" s="153"/>
      <c r="AA83" s="169">
        <v>0</v>
      </c>
      <c r="AB83" s="169">
        <v>0</v>
      </c>
      <c r="AC83" s="169">
        <f t="shared" si="5"/>
        <v>0</v>
      </c>
      <c r="AD83" s="169"/>
      <c r="AE83" s="169">
        <f t="shared" si="4"/>
        <v>0</v>
      </c>
      <c r="AF83" s="153"/>
      <c r="AG83" s="153"/>
      <c r="AH83" s="169">
        <v>0</v>
      </c>
      <c r="AI83" s="169">
        <v>0</v>
      </c>
      <c r="AJ83" s="153"/>
      <c r="AK83" s="153"/>
      <c r="AL83" s="246"/>
    </row>
    <row r="84" spans="2:38" s="154" customFormat="1" ht="42.75" x14ac:dyDescent="0.45">
      <c r="B84" s="152" t="s">
        <v>292</v>
      </c>
      <c r="C84" s="191" t="s">
        <v>305</v>
      </c>
      <c r="D84" s="191" t="s">
        <v>997</v>
      </c>
      <c r="E84" s="191" t="s">
        <v>998</v>
      </c>
      <c r="F84" s="191" t="s">
        <v>999</v>
      </c>
      <c r="G84" s="130"/>
      <c r="H84" s="130"/>
      <c r="I84" s="162">
        <v>1998</v>
      </c>
      <c r="J84" s="153"/>
      <c r="K84" s="153"/>
      <c r="L84" s="153"/>
      <c r="M84" s="153"/>
      <c r="N84" s="153"/>
      <c r="O84" s="153"/>
      <c r="P84" s="153"/>
      <c r="Q84" s="153"/>
      <c r="R84" s="153" t="s">
        <v>954</v>
      </c>
      <c r="S84" s="153"/>
      <c r="T84" s="153"/>
      <c r="U84" s="153">
        <f t="shared" si="1"/>
        <v>0</v>
      </c>
      <c r="V84" s="153"/>
      <c r="W84" s="169">
        <v>0</v>
      </c>
      <c r="X84" s="169">
        <v>0</v>
      </c>
      <c r="Y84" s="153"/>
      <c r="Z84" s="153"/>
      <c r="AA84" s="169">
        <v>0</v>
      </c>
      <c r="AB84" s="169">
        <v>0</v>
      </c>
      <c r="AC84" s="169">
        <f t="shared" si="5"/>
        <v>0</v>
      </c>
      <c r="AD84" s="169"/>
      <c r="AE84" s="169">
        <f t="shared" si="4"/>
        <v>0</v>
      </c>
      <c r="AF84" s="153"/>
      <c r="AG84" s="153"/>
      <c r="AH84" s="169">
        <v>0</v>
      </c>
      <c r="AI84" s="169">
        <v>0</v>
      </c>
      <c r="AJ84" s="153"/>
      <c r="AK84" s="153"/>
      <c r="AL84" s="246"/>
    </row>
    <row r="85" spans="2:38" s="154" customFormat="1" ht="42.75" x14ac:dyDescent="0.45">
      <c r="B85" s="152" t="s">
        <v>287</v>
      </c>
      <c r="C85" s="191" t="s">
        <v>305</v>
      </c>
      <c r="D85" s="191" t="s">
        <v>1000</v>
      </c>
      <c r="E85" s="191" t="s">
        <v>813</v>
      </c>
      <c r="F85" s="191" t="s">
        <v>1001</v>
      </c>
      <c r="G85" s="130"/>
      <c r="H85" s="130"/>
      <c r="I85" s="162">
        <v>1998</v>
      </c>
      <c r="J85" s="153"/>
      <c r="K85" s="153"/>
      <c r="L85" s="153"/>
      <c r="M85" s="153"/>
      <c r="N85" s="153"/>
      <c r="O85" s="153"/>
      <c r="P85" s="153"/>
      <c r="Q85" s="153"/>
      <c r="R85" s="153" t="s">
        <v>954</v>
      </c>
      <c r="S85" s="153"/>
      <c r="T85" s="153"/>
      <c r="U85" s="153">
        <f t="shared" si="1"/>
        <v>0</v>
      </c>
      <c r="V85" s="153"/>
      <c r="W85" s="169">
        <v>0</v>
      </c>
      <c r="X85" s="169">
        <v>0</v>
      </c>
      <c r="Y85" s="153"/>
      <c r="Z85" s="153"/>
      <c r="AA85" s="169">
        <v>0</v>
      </c>
      <c r="AB85" s="169">
        <v>0</v>
      </c>
      <c r="AC85" s="169">
        <f t="shared" si="5"/>
        <v>0</v>
      </c>
      <c r="AD85" s="169"/>
      <c r="AE85" s="169">
        <f t="shared" si="4"/>
        <v>0</v>
      </c>
      <c r="AF85" s="153"/>
      <c r="AG85" s="153"/>
      <c r="AH85" s="169">
        <v>0</v>
      </c>
      <c r="AI85" s="169">
        <v>0</v>
      </c>
      <c r="AJ85" s="153"/>
      <c r="AK85" s="153"/>
      <c r="AL85" s="246"/>
    </row>
    <row r="86" spans="2:38" s="154" customFormat="1" ht="42.75" x14ac:dyDescent="0.45">
      <c r="B86" s="152" t="s">
        <v>292</v>
      </c>
      <c r="C86" s="191" t="s">
        <v>305</v>
      </c>
      <c r="D86" s="191" t="s">
        <v>1002</v>
      </c>
      <c r="E86" s="191" t="s">
        <v>1003</v>
      </c>
      <c r="F86" s="191" t="s">
        <v>1004</v>
      </c>
      <c r="G86" s="130"/>
      <c r="H86" s="130"/>
      <c r="I86" s="162">
        <v>1998</v>
      </c>
      <c r="J86" s="153"/>
      <c r="K86" s="153"/>
      <c r="L86" s="153"/>
      <c r="M86" s="153"/>
      <c r="N86" s="153"/>
      <c r="O86" s="153"/>
      <c r="P86" s="153"/>
      <c r="Q86" s="153"/>
      <c r="R86" s="153" t="s">
        <v>954</v>
      </c>
      <c r="S86" s="153"/>
      <c r="T86" s="153"/>
      <c r="U86" s="153">
        <f t="shared" si="1"/>
        <v>0</v>
      </c>
      <c r="V86" s="153"/>
      <c r="W86" s="169">
        <v>0</v>
      </c>
      <c r="X86" s="169">
        <v>0</v>
      </c>
      <c r="Y86" s="153"/>
      <c r="Z86" s="153"/>
      <c r="AA86" s="169">
        <v>0</v>
      </c>
      <c r="AB86" s="169">
        <v>0</v>
      </c>
      <c r="AC86" s="169">
        <f t="shared" si="5"/>
        <v>0</v>
      </c>
      <c r="AD86" s="169"/>
      <c r="AE86" s="169">
        <f t="shared" si="4"/>
        <v>0</v>
      </c>
      <c r="AF86" s="153"/>
      <c r="AG86" s="153"/>
      <c r="AH86" s="169">
        <v>0</v>
      </c>
      <c r="AI86" s="169">
        <v>0</v>
      </c>
      <c r="AJ86" s="153"/>
      <c r="AK86" s="153"/>
      <c r="AL86" s="246"/>
    </row>
    <row r="87" spans="2:38" s="154" customFormat="1" ht="42.75" x14ac:dyDescent="0.45">
      <c r="B87" s="152" t="s">
        <v>292</v>
      </c>
      <c r="C87" s="191" t="s">
        <v>305</v>
      </c>
      <c r="D87" s="191" t="s">
        <v>1005</v>
      </c>
      <c r="E87" s="191" t="s">
        <v>1006</v>
      </c>
      <c r="F87" s="191" t="s">
        <v>1007</v>
      </c>
      <c r="G87" s="130"/>
      <c r="H87" s="130"/>
      <c r="I87" s="162">
        <v>2002</v>
      </c>
      <c r="J87" s="153"/>
      <c r="K87" s="153"/>
      <c r="L87" s="153"/>
      <c r="M87" s="153"/>
      <c r="N87" s="153"/>
      <c r="O87" s="153"/>
      <c r="P87" s="153"/>
      <c r="Q87" s="153"/>
      <c r="R87" s="153" t="s">
        <v>954</v>
      </c>
      <c r="S87" s="153"/>
      <c r="T87" s="153"/>
      <c r="U87" s="153">
        <f t="shared" si="1"/>
        <v>0</v>
      </c>
      <c r="V87" s="153"/>
      <c r="W87" s="169">
        <v>0</v>
      </c>
      <c r="X87" s="169">
        <v>0</v>
      </c>
      <c r="Y87" s="153"/>
      <c r="Z87" s="153"/>
      <c r="AA87" s="169">
        <v>0</v>
      </c>
      <c r="AB87" s="169">
        <v>0</v>
      </c>
      <c r="AC87" s="169">
        <f t="shared" si="5"/>
        <v>0</v>
      </c>
      <c r="AD87" s="169"/>
      <c r="AE87" s="169">
        <f t="shared" si="4"/>
        <v>0</v>
      </c>
      <c r="AF87" s="153"/>
      <c r="AG87" s="153"/>
      <c r="AH87" s="169">
        <v>0</v>
      </c>
      <c r="AI87" s="169">
        <v>0</v>
      </c>
      <c r="AJ87" s="153"/>
      <c r="AK87" s="153"/>
      <c r="AL87" s="246"/>
    </row>
    <row r="88" spans="2:38" s="154" customFormat="1" ht="42.75" x14ac:dyDescent="0.45">
      <c r="B88" s="152" t="s">
        <v>292</v>
      </c>
      <c r="C88" s="191" t="s">
        <v>305</v>
      </c>
      <c r="D88" s="191" t="s">
        <v>1008</v>
      </c>
      <c r="E88" s="191" t="s">
        <v>1009</v>
      </c>
      <c r="F88" s="191" t="s">
        <v>1010</v>
      </c>
      <c r="G88" s="130" t="s">
        <v>290</v>
      </c>
      <c r="H88" s="130"/>
      <c r="I88" s="162">
        <v>1998</v>
      </c>
      <c r="J88" s="153"/>
      <c r="K88" s="153"/>
      <c r="L88" s="153">
        <v>162.47999999999999</v>
      </c>
      <c r="M88" s="153">
        <v>272.48</v>
      </c>
      <c r="N88" s="153" t="s">
        <v>755</v>
      </c>
      <c r="O88" s="153"/>
      <c r="P88" s="153" t="s">
        <v>898</v>
      </c>
      <c r="Q88" s="153" t="s">
        <v>757</v>
      </c>
      <c r="R88" s="153"/>
      <c r="S88" s="153" t="s">
        <v>1011</v>
      </c>
      <c r="T88" s="153"/>
      <c r="U88" s="153">
        <f t="shared" ref="U88:U118" si="6">SUM(L88:M88)/2</f>
        <v>217.48000000000002</v>
      </c>
      <c r="V88" s="153"/>
      <c r="W88" s="169">
        <v>0</v>
      </c>
      <c r="X88" s="169">
        <v>5433.4402599999994</v>
      </c>
      <c r="Y88" s="153" t="s">
        <v>95</v>
      </c>
      <c r="Z88" s="153">
        <v>36563</v>
      </c>
      <c r="AA88" s="169">
        <v>0</v>
      </c>
      <c r="AB88" s="169">
        <v>5433</v>
      </c>
      <c r="AC88" s="169">
        <f t="shared" si="5"/>
        <v>47429.440260000003</v>
      </c>
      <c r="AD88" s="169"/>
      <c r="AE88" s="169">
        <f t="shared" si="4"/>
        <v>10314954.667744802</v>
      </c>
      <c r="AF88" s="153" t="s">
        <v>95</v>
      </c>
      <c r="AG88" s="153">
        <v>35500</v>
      </c>
      <c r="AH88" s="169">
        <v>0</v>
      </c>
      <c r="AI88" s="169">
        <v>5433.4402599999994</v>
      </c>
      <c r="AJ88" s="153" t="s">
        <v>95</v>
      </c>
      <c r="AK88" s="153">
        <v>35500</v>
      </c>
      <c r="AL88" s="245"/>
    </row>
    <row r="89" spans="2:38" s="154" customFormat="1" ht="28.5" x14ac:dyDescent="0.45">
      <c r="B89" s="152" t="s">
        <v>304</v>
      </c>
      <c r="C89" s="191" t="s">
        <v>308</v>
      </c>
      <c r="D89" s="191" t="s">
        <v>1012</v>
      </c>
      <c r="E89" s="191" t="s">
        <v>1013</v>
      </c>
      <c r="F89" s="191" t="s">
        <v>1014</v>
      </c>
      <c r="G89" s="130" t="s">
        <v>294</v>
      </c>
      <c r="H89" s="130" t="s">
        <v>298</v>
      </c>
      <c r="I89" s="162">
        <v>2008</v>
      </c>
      <c r="J89" s="153" t="s">
        <v>95</v>
      </c>
      <c r="K89" s="153" t="s">
        <v>95</v>
      </c>
      <c r="L89" s="153">
        <v>372838.28</v>
      </c>
      <c r="M89" s="153">
        <v>532348.21</v>
      </c>
      <c r="N89" s="153" t="s">
        <v>755</v>
      </c>
      <c r="O89" s="153"/>
      <c r="P89" s="153" t="s">
        <v>756</v>
      </c>
      <c r="Q89" s="153" t="s">
        <v>757</v>
      </c>
      <c r="R89" s="153"/>
      <c r="S89" s="153"/>
      <c r="T89" s="153"/>
      <c r="U89" s="153">
        <f t="shared" si="6"/>
        <v>452593.245</v>
      </c>
      <c r="V89" s="153"/>
      <c r="W89" s="169">
        <v>0</v>
      </c>
      <c r="X89" s="169">
        <v>0</v>
      </c>
      <c r="Y89" s="153" t="s">
        <v>95</v>
      </c>
      <c r="Z89" s="153" t="s">
        <v>95</v>
      </c>
      <c r="AA89" s="169">
        <v>0</v>
      </c>
      <c r="AB89" s="169">
        <v>0</v>
      </c>
      <c r="AC89" s="169">
        <f t="shared" si="5"/>
        <v>0</v>
      </c>
      <c r="AD89" s="169"/>
      <c r="AE89" s="169"/>
      <c r="AF89" s="153" t="s">
        <v>95</v>
      </c>
      <c r="AG89" s="153" t="s">
        <v>95</v>
      </c>
      <c r="AH89" s="169">
        <v>0</v>
      </c>
      <c r="AI89" s="169">
        <v>0</v>
      </c>
      <c r="AJ89" s="153" t="s">
        <v>95</v>
      </c>
      <c r="AK89" s="153" t="s">
        <v>95</v>
      </c>
      <c r="AL89" s="245"/>
    </row>
    <row r="90" spans="2:38" s="154" customFormat="1" ht="28.5" x14ac:dyDescent="0.45">
      <c r="B90" s="152" t="s">
        <v>304</v>
      </c>
      <c r="C90" s="191" t="s">
        <v>308</v>
      </c>
      <c r="D90" s="191" t="s">
        <v>1015</v>
      </c>
      <c r="E90" s="191" t="s">
        <v>1016</v>
      </c>
      <c r="F90" s="191"/>
      <c r="G90" s="130" t="s">
        <v>294</v>
      </c>
      <c r="H90" s="130" t="s">
        <v>298</v>
      </c>
      <c r="I90" s="162">
        <v>2015</v>
      </c>
      <c r="J90" s="153"/>
      <c r="K90" s="153"/>
      <c r="L90" s="153">
        <v>47363.6</v>
      </c>
      <c r="M90" s="153">
        <v>106433.39</v>
      </c>
      <c r="N90" s="153" t="s">
        <v>755</v>
      </c>
      <c r="O90" s="153"/>
      <c r="P90" s="153" t="s">
        <v>756</v>
      </c>
      <c r="Q90" s="153" t="s">
        <v>757</v>
      </c>
      <c r="R90" s="153"/>
      <c r="S90" s="153"/>
      <c r="T90" s="153"/>
      <c r="U90" s="153">
        <f t="shared" si="6"/>
        <v>76898.494999999995</v>
      </c>
      <c r="V90" s="153"/>
      <c r="W90" s="169">
        <v>0</v>
      </c>
      <c r="X90" s="169">
        <v>0</v>
      </c>
      <c r="Y90" s="153" t="s">
        <v>95</v>
      </c>
      <c r="Z90" s="153" t="s">
        <v>95</v>
      </c>
      <c r="AA90" s="169">
        <v>0</v>
      </c>
      <c r="AB90" s="169">
        <v>0</v>
      </c>
      <c r="AC90" s="169">
        <f t="shared" si="5"/>
        <v>0</v>
      </c>
      <c r="AD90" s="169"/>
      <c r="AE90" s="169"/>
      <c r="AF90" s="153" t="s">
        <v>95</v>
      </c>
      <c r="AG90" s="153" t="s">
        <v>95</v>
      </c>
      <c r="AH90" s="169">
        <v>0</v>
      </c>
      <c r="AI90" s="169">
        <v>0</v>
      </c>
      <c r="AJ90" s="153" t="s">
        <v>95</v>
      </c>
      <c r="AK90" s="153" t="s">
        <v>95</v>
      </c>
      <c r="AL90" s="245"/>
    </row>
    <row r="91" spans="2:38" s="154" customFormat="1" ht="42.75" x14ac:dyDescent="0.45">
      <c r="B91" s="152" t="s">
        <v>304</v>
      </c>
      <c r="C91" s="191" t="s">
        <v>308</v>
      </c>
      <c r="D91" s="191" t="s">
        <v>1017</v>
      </c>
      <c r="E91" s="191" t="s">
        <v>1018</v>
      </c>
      <c r="F91" s="191" t="s">
        <v>1019</v>
      </c>
      <c r="G91" s="130" t="s">
        <v>298</v>
      </c>
      <c r="H91" s="130" t="s">
        <v>294</v>
      </c>
      <c r="I91" s="162">
        <v>2009</v>
      </c>
      <c r="J91" s="153"/>
      <c r="K91" s="153"/>
      <c r="L91" s="153">
        <v>68.58</v>
      </c>
      <c r="M91" s="153">
        <v>69.69</v>
      </c>
      <c r="N91" s="153" t="s">
        <v>755</v>
      </c>
      <c r="O91" s="153"/>
      <c r="P91" s="153" t="s">
        <v>756</v>
      </c>
      <c r="Q91" s="153" t="s">
        <v>757</v>
      </c>
      <c r="R91" s="153"/>
      <c r="S91" s="153"/>
      <c r="T91" s="153"/>
      <c r="U91" s="153">
        <f t="shared" si="6"/>
        <v>69.134999999999991</v>
      </c>
      <c r="V91" s="153"/>
      <c r="W91" s="169">
        <v>0</v>
      </c>
      <c r="X91" s="192">
        <v>2587.68352</v>
      </c>
      <c r="Y91" s="153" t="s">
        <v>95</v>
      </c>
      <c r="Z91" s="153" t="s">
        <v>95</v>
      </c>
      <c r="AA91" s="169">
        <v>0</v>
      </c>
      <c r="AB91" s="192">
        <v>2936</v>
      </c>
      <c r="AC91" s="169">
        <f t="shared" si="5"/>
        <v>5523.6835200000005</v>
      </c>
      <c r="AD91" s="169"/>
      <c r="AE91" s="169"/>
      <c r="AF91" s="153" t="s">
        <v>95</v>
      </c>
      <c r="AG91" s="153" t="s">
        <v>95</v>
      </c>
      <c r="AH91" s="169">
        <v>0</v>
      </c>
      <c r="AI91" s="192">
        <v>2936</v>
      </c>
      <c r="AJ91" s="153" t="s">
        <v>95</v>
      </c>
      <c r="AK91" s="153" t="s">
        <v>95</v>
      </c>
      <c r="AL91" s="245"/>
    </row>
    <row r="92" spans="2:38" s="154" customFormat="1" ht="28.5" x14ac:dyDescent="0.45">
      <c r="B92" s="152" t="s">
        <v>304</v>
      </c>
      <c r="C92" s="191" t="s">
        <v>308</v>
      </c>
      <c r="D92" s="191" t="s">
        <v>1020</v>
      </c>
      <c r="E92" s="191" t="s">
        <v>1021</v>
      </c>
      <c r="F92" s="191" t="s">
        <v>1022</v>
      </c>
      <c r="G92" s="130" t="s">
        <v>298</v>
      </c>
      <c r="H92" s="130" t="s">
        <v>294</v>
      </c>
      <c r="I92" s="162">
        <v>2008</v>
      </c>
      <c r="J92" s="153"/>
      <c r="K92" s="153"/>
      <c r="L92" s="153">
        <v>61.9</v>
      </c>
      <c r="M92" s="153">
        <v>84.57</v>
      </c>
      <c r="N92" s="153" t="s">
        <v>755</v>
      </c>
      <c r="O92" s="153"/>
      <c r="P92" s="153" t="s">
        <v>756</v>
      </c>
      <c r="Q92" s="153" t="s">
        <v>757</v>
      </c>
      <c r="R92" s="153"/>
      <c r="S92" s="153"/>
      <c r="T92" s="153"/>
      <c r="U92" s="153">
        <f t="shared" si="6"/>
        <v>73.234999999999999</v>
      </c>
      <c r="V92" s="153"/>
      <c r="W92" s="169">
        <v>0</v>
      </c>
      <c r="X92" s="169">
        <v>0</v>
      </c>
      <c r="Y92" s="153" t="s">
        <v>95</v>
      </c>
      <c r="Z92" s="153" t="s">
        <v>95</v>
      </c>
      <c r="AA92" s="169">
        <v>0</v>
      </c>
      <c r="AB92" s="169">
        <v>0</v>
      </c>
      <c r="AC92" s="169">
        <f t="shared" si="5"/>
        <v>0</v>
      </c>
      <c r="AD92" s="169"/>
      <c r="AE92" s="169"/>
      <c r="AF92" s="153" t="s">
        <v>95</v>
      </c>
      <c r="AG92" s="153" t="s">
        <v>95</v>
      </c>
      <c r="AH92" s="169">
        <v>0</v>
      </c>
      <c r="AI92" s="169">
        <v>0</v>
      </c>
      <c r="AJ92" s="153" t="s">
        <v>95</v>
      </c>
      <c r="AK92" s="153" t="s">
        <v>95</v>
      </c>
      <c r="AL92" s="245"/>
    </row>
    <row r="93" spans="2:38" s="154" customFormat="1" ht="28.5" x14ac:dyDescent="0.45">
      <c r="B93" s="152" t="s">
        <v>304</v>
      </c>
      <c r="C93" s="191" t="s">
        <v>308</v>
      </c>
      <c r="D93" s="191" t="s">
        <v>1023</v>
      </c>
      <c r="E93" s="191" t="s">
        <v>1024</v>
      </c>
      <c r="F93" s="191" t="s">
        <v>1025</v>
      </c>
      <c r="G93" s="130" t="s">
        <v>294</v>
      </c>
      <c r="H93" s="130" t="s">
        <v>298</v>
      </c>
      <c r="I93" s="162">
        <v>2013</v>
      </c>
      <c r="J93" s="153"/>
      <c r="K93" s="153"/>
      <c r="L93" s="153"/>
      <c r="M93" s="153"/>
      <c r="N93" s="153" t="s">
        <v>798</v>
      </c>
      <c r="O93" s="153" t="s">
        <v>799</v>
      </c>
      <c r="P93" s="153" t="s">
        <v>756</v>
      </c>
      <c r="Q93" s="153" t="s">
        <v>757</v>
      </c>
      <c r="R93" s="153"/>
      <c r="S93" s="153"/>
      <c r="T93" s="153"/>
      <c r="U93" s="153">
        <f t="shared" si="6"/>
        <v>0</v>
      </c>
      <c r="V93" s="153"/>
      <c r="W93" s="192">
        <v>663.17934218000028</v>
      </c>
      <c r="X93" s="169">
        <v>0</v>
      </c>
      <c r="Y93" s="153" t="s">
        <v>95</v>
      </c>
      <c r="Z93" s="153" t="s">
        <v>95</v>
      </c>
      <c r="AA93" s="169">
        <v>0</v>
      </c>
      <c r="AB93" s="169">
        <v>0</v>
      </c>
      <c r="AC93" s="169">
        <f t="shared" si="5"/>
        <v>663.17934218000028</v>
      </c>
      <c r="AD93" s="169"/>
      <c r="AE93" s="169"/>
      <c r="AF93" s="153" t="s">
        <v>95</v>
      </c>
      <c r="AG93" s="153" t="s">
        <v>95</v>
      </c>
      <c r="AH93" s="169">
        <v>0</v>
      </c>
      <c r="AI93" s="169">
        <v>0</v>
      </c>
      <c r="AJ93" s="153" t="s">
        <v>95</v>
      </c>
      <c r="AK93" s="153" t="s">
        <v>95</v>
      </c>
      <c r="AL93" s="245" t="s">
        <v>1026</v>
      </c>
    </row>
    <row r="94" spans="2:38" s="154" customFormat="1" ht="28.5" x14ac:dyDescent="0.45">
      <c r="B94" s="152" t="s">
        <v>304</v>
      </c>
      <c r="C94" s="191" t="s">
        <v>308</v>
      </c>
      <c r="D94" s="191" t="s">
        <v>1027</v>
      </c>
      <c r="E94" s="191" t="s">
        <v>1028</v>
      </c>
      <c r="F94" s="191" t="s">
        <v>1029</v>
      </c>
      <c r="G94" s="130" t="s">
        <v>294</v>
      </c>
      <c r="H94" s="130" t="s">
        <v>298</v>
      </c>
      <c r="I94" s="162">
        <v>2013</v>
      </c>
      <c r="J94" s="153"/>
      <c r="K94" s="153"/>
      <c r="L94" s="153">
        <v>92.98</v>
      </c>
      <c r="M94" s="153">
        <v>93.89</v>
      </c>
      <c r="N94" s="153"/>
      <c r="O94" s="153"/>
      <c r="P94" s="153"/>
      <c r="Q94" s="153"/>
      <c r="R94" s="153" t="s">
        <v>803</v>
      </c>
      <c r="S94" s="153"/>
      <c r="T94" s="153"/>
      <c r="U94" s="153">
        <f t="shared" si="6"/>
        <v>93.435000000000002</v>
      </c>
      <c r="V94" s="153"/>
      <c r="W94" s="169">
        <v>0</v>
      </c>
      <c r="X94" s="169">
        <v>0</v>
      </c>
      <c r="Y94" s="153"/>
      <c r="Z94" s="153"/>
      <c r="AA94" s="169">
        <v>0</v>
      </c>
      <c r="AB94" s="169">
        <v>0</v>
      </c>
      <c r="AC94" s="169">
        <f t="shared" si="5"/>
        <v>0</v>
      </c>
      <c r="AD94" s="169"/>
      <c r="AE94" s="169"/>
      <c r="AF94" s="153"/>
      <c r="AG94" s="153"/>
      <c r="AH94" s="169">
        <v>0</v>
      </c>
      <c r="AI94" s="169">
        <v>0</v>
      </c>
      <c r="AJ94" s="153"/>
      <c r="AK94" s="153"/>
      <c r="AL94" s="245"/>
    </row>
    <row r="95" spans="2:38" s="154" customFormat="1" ht="28.5" x14ac:dyDescent="0.45">
      <c r="B95" s="152" t="s">
        <v>304</v>
      </c>
      <c r="C95" s="191" t="s">
        <v>308</v>
      </c>
      <c r="D95" s="191" t="s">
        <v>1030</v>
      </c>
      <c r="E95" s="191" t="s">
        <v>1031</v>
      </c>
      <c r="F95" s="191" t="s">
        <v>1032</v>
      </c>
      <c r="G95" s="130" t="s">
        <v>298</v>
      </c>
      <c r="H95" s="130" t="s">
        <v>294</v>
      </c>
      <c r="I95" s="162">
        <v>2008</v>
      </c>
      <c r="J95" s="153">
        <v>1.1000000000000001</v>
      </c>
      <c r="K95" s="153"/>
      <c r="L95" s="153">
        <v>15.72</v>
      </c>
      <c r="M95" s="153">
        <v>26.07</v>
      </c>
      <c r="N95" s="153" t="s">
        <v>755</v>
      </c>
      <c r="O95" s="153"/>
      <c r="P95" s="153" t="s">
        <v>756</v>
      </c>
      <c r="Q95" s="153" t="s">
        <v>757</v>
      </c>
      <c r="R95" s="153"/>
      <c r="S95" s="153"/>
      <c r="T95" s="153"/>
      <c r="U95" s="153">
        <f t="shared" si="6"/>
        <v>20.895</v>
      </c>
      <c r="V95" s="153"/>
      <c r="W95" s="169">
        <v>7092.4023143213608</v>
      </c>
      <c r="X95" s="192">
        <v>6766.294460000001</v>
      </c>
      <c r="Y95" s="153" t="s">
        <v>95</v>
      </c>
      <c r="Z95" s="153" t="s">
        <v>95</v>
      </c>
      <c r="AA95" s="192">
        <v>10184.752</v>
      </c>
      <c r="AB95" s="169">
        <v>7609.9686000000011</v>
      </c>
      <c r="AC95" s="169">
        <f t="shared" si="5"/>
        <v>31653.417374321361</v>
      </c>
      <c r="AD95" s="169"/>
      <c r="AE95" s="169"/>
      <c r="AF95" s="153" t="s">
        <v>95</v>
      </c>
      <c r="AG95" s="153" t="s">
        <v>95</v>
      </c>
      <c r="AH95" s="192">
        <v>2462.8710000000001</v>
      </c>
      <c r="AI95" s="192">
        <v>10320.068670000001</v>
      </c>
      <c r="AJ95" s="153" t="s">
        <v>95</v>
      </c>
      <c r="AK95" s="153" t="s">
        <v>95</v>
      </c>
      <c r="AL95" s="245"/>
    </row>
    <row r="96" spans="2:38" s="154" customFormat="1" ht="57" x14ac:dyDescent="0.45">
      <c r="B96" s="152" t="s">
        <v>304</v>
      </c>
      <c r="C96" s="191" t="s">
        <v>311</v>
      </c>
      <c r="D96" s="191" t="s">
        <v>1033</v>
      </c>
      <c r="E96" s="191" t="s">
        <v>1034</v>
      </c>
      <c r="F96" s="191" t="s">
        <v>1035</v>
      </c>
      <c r="G96" s="183"/>
      <c r="H96" s="183"/>
      <c r="I96" s="162">
        <v>2019</v>
      </c>
      <c r="J96" s="153"/>
      <c r="K96" s="153"/>
      <c r="L96" s="153"/>
      <c r="M96" s="153"/>
      <c r="N96" s="153" t="s">
        <v>798</v>
      </c>
      <c r="O96" s="153" t="s">
        <v>799</v>
      </c>
      <c r="P96" s="153" t="s">
        <v>756</v>
      </c>
      <c r="Q96" s="153" t="s">
        <v>757</v>
      </c>
      <c r="R96" s="153"/>
      <c r="S96" s="153"/>
      <c r="T96" s="153"/>
      <c r="U96" s="153">
        <f t="shared" si="6"/>
        <v>0</v>
      </c>
      <c r="V96" s="153"/>
      <c r="W96" s="192">
        <v>5272.0006918978243</v>
      </c>
      <c r="X96" s="169">
        <v>0</v>
      </c>
      <c r="Y96" s="153" t="s">
        <v>95</v>
      </c>
      <c r="Z96" s="153" t="s">
        <v>95</v>
      </c>
      <c r="AA96" s="192">
        <v>19003.997309675528</v>
      </c>
      <c r="AB96" s="169">
        <v>0</v>
      </c>
      <c r="AC96" s="169">
        <f t="shared" si="5"/>
        <v>24275.998001573353</v>
      </c>
      <c r="AD96" s="169"/>
      <c r="AE96" s="169"/>
      <c r="AF96" s="153" t="s">
        <v>95</v>
      </c>
      <c r="AG96" s="153" t="s">
        <v>95</v>
      </c>
      <c r="AH96" s="192">
        <v>12890.180066232888</v>
      </c>
      <c r="AI96" s="169">
        <v>0</v>
      </c>
      <c r="AJ96" s="153" t="s">
        <v>95</v>
      </c>
      <c r="AK96" s="153" t="s">
        <v>95</v>
      </c>
      <c r="AL96" s="245" t="s">
        <v>758</v>
      </c>
    </row>
    <row r="97" spans="2:38" s="154" customFormat="1" ht="28.5" x14ac:dyDescent="0.45">
      <c r="B97" s="152" t="s">
        <v>304</v>
      </c>
      <c r="C97" s="191" t="s">
        <v>311</v>
      </c>
      <c r="D97" s="191" t="s">
        <v>1036</v>
      </c>
      <c r="E97" s="191" t="s">
        <v>1037</v>
      </c>
      <c r="F97" s="191" t="s">
        <v>1038</v>
      </c>
      <c r="G97" s="183"/>
      <c r="H97" s="183"/>
      <c r="I97" s="162">
        <v>2012</v>
      </c>
      <c r="J97" s="153"/>
      <c r="K97" s="153"/>
      <c r="L97" s="153"/>
      <c r="M97" s="153"/>
      <c r="N97" s="153"/>
      <c r="O97" s="153"/>
      <c r="P97" s="153"/>
      <c r="Q97" s="153"/>
      <c r="R97" s="153" t="s">
        <v>786</v>
      </c>
      <c r="S97" s="153"/>
      <c r="T97" s="153"/>
      <c r="U97" s="153">
        <f t="shared" si="6"/>
        <v>0</v>
      </c>
      <c r="V97" s="153"/>
      <c r="W97" s="169">
        <v>0</v>
      </c>
      <c r="X97" s="169">
        <v>0</v>
      </c>
      <c r="Y97" s="153"/>
      <c r="Z97" s="153"/>
      <c r="AA97" s="169">
        <v>0</v>
      </c>
      <c r="AB97" s="169">
        <v>0</v>
      </c>
      <c r="AC97" s="169">
        <f t="shared" si="5"/>
        <v>0</v>
      </c>
      <c r="AD97" s="169"/>
      <c r="AE97" s="169"/>
      <c r="AF97" s="153"/>
      <c r="AG97" s="153"/>
      <c r="AH97" s="169">
        <v>0</v>
      </c>
      <c r="AI97" s="169">
        <v>0</v>
      </c>
      <c r="AJ97" s="153"/>
      <c r="AK97" s="153"/>
      <c r="AL97" s="246"/>
    </row>
    <row r="98" spans="2:38" s="154" customFormat="1" ht="57" x14ac:dyDescent="0.45">
      <c r="B98" s="152" t="s">
        <v>304</v>
      </c>
      <c r="C98" s="191" t="s">
        <v>311</v>
      </c>
      <c r="D98" s="191" t="s">
        <v>1039</v>
      </c>
      <c r="E98" s="191" t="s">
        <v>1040</v>
      </c>
      <c r="F98" s="191" t="s">
        <v>1041</v>
      </c>
      <c r="G98" s="183"/>
      <c r="H98" s="183"/>
      <c r="I98" s="162">
        <v>2020</v>
      </c>
      <c r="J98" s="153"/>
      <c r="K98" s="153"/>
      <c r="L98" s="153"/>
      <c r="M98" s="153"/>
      <c r="N98" s="153" t="s">
        <v>798</v>
      </c>
      <c r="O98" s="153" t="s">
        <v>799</v>
      </c>
      <c r="P98" s="153" t="s">
        <v>756</v>
      </c>
      <c r="Q98" s="153" t="s">
        <v>757</v>
      </c>
      <c r="R98" s="153"/>
      <c r="S98" s="153"/>
      <c r="T98" s="153"/>
      <c r="U98" s="153">
        <f t="shared" si="6"/>
        <v>0</v>
      </c>
      <c r="V98" s="153"/>
      <c r="W98" s="192">
        <v>2208.0274113499995</v>
      </c>
      <c r="X98" s="169">
        <v>0</v>
      </c>
      <c r="Y98" s="153" t="s">
        <v>95</v>
      </c>
      <c r="Z98" s="153" t="s">
        <v>95</v>
      </c>
      <c r="AA98" s="192">
        <v>3689.009865216</v>
      </c>
      <c r="AB98" s="169">
        <v>0</v>
      </c>
      <c r="AC98" s="169">
        <f t="shared" si="5"/>
        <v>5897.0372765659995</v>
      </c>
      <c r="AD98" s="169"/>
      <c r="AE98" s="169"/>
      <c r="AF98" s="153" t="s">
        <v>95</v>
      </c>
      <c r="AG98" s="153" t="s">
        <v>95</v>
      </c>
      <c r="AH98" s="192">
        <v>3689.009865216</v>
      </c>
      <c r="AI98" s="169">
        <v>0</v>
      </c>
      <c r="AJ98" s="153" t="s">
        <v>95</v>
      </c>
      <c r="AK98" s="153" t="s">
        <v>95</v>
      </c>
      <c r="AL98" s="245" t="s">
        <v>758</v>
      </c>
    </row>
    <row r="99" spans="2:38" s="154" customFormat="1" ht="14.25" x14ac:dyDescent="0.45">
      <c r="B99" s="152" t="s">
        <v>304</v>
      </c>
      <c r="C99" s="191" t="s">
        <v>311</v>
      </c>
      <c r="D99" s="191" t="s">
        <v>1042</v>
      </c>
      <c r="E99" s="191" t="s">
        <v>1043</v>
      </c>
      <c r="F99" s="191" t="s">
        <v>1044</v>
      </c>
      <c r="G99" s="183"/>
      <c r="H99" s="183"/>
      <c r="I99" s="162">
        <v>2019</v>
      </c>
      <c r="J99" s="153"/>
      <c r="K99" s="153"/>
      <c r="L99" s="153"/>
      <c r="M99" s="153"/>
      <c r="N99" s="153"/>
      <c r="O99" s="153"/>
      <c r="P99" s="153"/>
      <c r="Q99" s="153"/>
      <c r="R99" s="153" t="s">
        <v>786</v>
      </c>
      <c r="S99" s="153"/>
      <c r="T99" s="153"/>
      <c r="U99" s="153">
        <f t="shared" si="6"/>
        <v>0</v>
      </c>
      <c r="V99" s="153"/>
      <c r="W99" s="169">
        <v>0</v>
      </c>
      <c r="X99" s="169">
        <v>0</v>
      </c>
      <c r="Y99" s="153"/>
      <c r="Z99" s="153"/>
      <c r="AA99" s="169">
        <v>0</v>
      </c>
      <c r="AB99" s="169">
        <v>0</v>
      </c>
      <c r="AC99" s="169">
        <f t="shared" si="5"/>
        <v>0</v>
      </c>
      <c r="AD99" s="169"/>
      <c r="AE99" s="169"/>
      <c r="AF99" s="153"/>
      <c r="AG99" s="153"/>
      <c r="AH99" s="169">
        <v>0</v>
      </c>
      <c r="AI99" s="169">
        <v>0</v>
      </c>
      <c r="AJ99" s="153"/>
      <c r="AK99" s="153"/>
      <c r="AL99" s="246"/>
    </row>
    <row r="100" spans="2:38" s="154" customFormat="1" ht="14.25" x14ac:dyDescent="0.45">
      <c r="B100" s="152" t="s">
        <v>304</v>
      </c>
      <c r="C100" s="191" t="s">
        <v>311</v>
      </c>
      <c r="D100" s="191" t="s">
        <v>1045</v>
      </c>
      <c r="E100" s="191" t="s">
        <v>1046</v>
      </c>
      <c r="F100" s="191" t="s">
        <v>1047</v>
      </c>
      <c r="G100" s="183"/>
      <c r="H100" s="183"/>
      <c r="I100" s="162">
        <v>2000</v>
      </c>
      <c r="J100" s="153"/>
      <c r="K100" s="153"/>
      <c r="L100" s="153"/>
      <c r="M100" s="153"/>
      <c r="N100" s="153"/>
      <c r="O100" s="153"/>
      <c r="P100" s="153"/>
      <c r="Q100" s="153"/>
      <c r="R100" s="153" t="s">
        <v>1034</v>
      </c>
      <c r="S100" s="153"/>
      <c r="T100" s="153"/>
      <c r="U100" s="153">
        <f t="shared" si="6"/>
        <v>0</v>
      </c>
      <c r="V100" s="153"/>
      <c r="W100" s="169">
        <v>0</v>
      </c>
      <c r="X100" s="169">
        <v>0</v>
      </c>
      <c r="Y100" s="153"/>
      <c r="Z100" s="153"/>
      <c r="AA100" s="169">
        <v>0</v>
      </c>
      <c r="AB100" s="169">
        <v>0</v>
      </c>
      <c r="AC100" s="169">
        <f t="shared" si="5"/>
        <v>0</v>
      </c>
      <c r="AD100" s="169"/>
      <c r="AE100" s="169"/>
      <c r="AF100" s="153"/>
      <c r="AG100" s="153"/>
      <c r="AH100" s="169">
        <v>0</v>
      </c>
      <c r="AI100" s="169">
        <v>0</v>
      </c>
      <c r="AJ100" s="153"/>
      <c r="AK100" s="153"/>
      <c r="AL100" s="246"/>
    </row>
    <row r="101" spans="2:38" s="154" customFormat="1" ht="57" x14ac:dyDescent="0.45">
      <c r="B101" s="152" t="s">
        <v>304</v>
      </c>
      <c r="C101" s="191" t="s">
        <v>316</v>
      </c>
      <c r="D101" s="191" t="s">
        <v>1048</v>
      </c>
      <c r="E101" s="191" t="s">
        <v>1049</v>
      </c>
      <c r="F101" s="191" t="s">
        <v>1050</v>
      </c>
      <c r="G101" s="183"/>
      <c r="H101" s="183"/>
      <c r="I101" s="162">
        <v>2019</v>
      </c>
      <c r="J101" s="153"/>
      <c r="K101" s="153"/>
      <c r="L101" s="153"/>
      <c r="M101" s="153"/>
      <c r="N101" s="153" t="s">
        <v>755</v>
      </c>
      <c r="O101" s="153"/>
      <c r="P101" s="153" t="s">
        <v>756</v>
      </c>
      <c r="Q101" s="153" t="s">
        <v>757</v>
      </c>
      <c r="R101" s="153"/>
      <c r="S101" s="153"/>
      <c r="T101" s="153"/>
      <c r="U101" s="153">
        <f t="shared" si="6"/>
        <v>0</v>
      </c>
      <c r="V101" s="153"/>
      <c r="W101" s="192">
        <v>1623.2194906799359</v>
      </c>
      <c r="X101" s="169">
        <v>329.38430999999997</v>
      </c>
      <c r="Y101" s="153" t="s">
        <v>95</v>
      </c>
      <c r="Z101" s="153" t="s">
        <v>95</v>
      </c>
      <c r="AA101" s="192">
        <v>2844.9162363252767</v>
      </c>
      <c r="AB101" s="169">
        <v>387.3481013476233</v>
      </c>
      <c r="AC101" s="169">
        <f t="shared" si="5"/>
        <v>5184.8681383528356</v>
      </c>
      <c r="AD101" s="169"/>
      <c r="AE101" s="169"/>
      <c r="AF101" s="153" t="s">
        <v>95</v>
      </c>
      <c r="AG101" s="153" t="s">
        <v>95</v>
      </c>
      <c r="AH101" s="169">
        <v>0</v>
      </c>
      <c r="AI101" s="192">
        <v>387.3481013476233</v>
      </c>
      <c r="AJ101" s="153" t="s">
        <v>95</v>
      </c>
      <c r="AK101" s="153" t="s">
        <v>95</v>
      </c>
      <c r="AL101" s="245" t="s">
        <v>758</v>
      </c>
    </row>
    <row r="102" spans="2:38" s="154" customFormat="1" ht="28.5" x14ac:dyDescent="0.45">
      <c r="B102" s="152" t="s">
        <v>304</v>
      </c>
      <c r="C102" s="191" t="s">
        <v>316</v>
      </c>
      <c r="D102" s="191" t="s">
        <v>1051</v>
      </c>
      <c r="E102" s="191" t="s">
        <v>1052</v>
      </c>
      <c r="F102" s="191" t="s">
        <v>1053</v>
      </c>
      <c r="G102" s="183"/>
      <c r="H102" s="183"/>
      <c r="I102" s="162">
        <v>2019</v>
      </c>
      <c r="J102" s="153"/>
      <c r="K102" s="153"/>
      <c r="L102" s="153"/>
      <c r="M102" s="153"/>
      <c r="N102" s="153"/>
      <c r="O102" s="153"/>
      <c r="P102" s="153"/>
      <c r="Q102" s="153"/>
      <c r="R102" s="153" t="s">
        <v>1049</v>
      </c>
      <c r="S102" s="153"/>
      <c r="T102" s="153"/>
      <c r="U102" s="153">
        <f t="shared" si="6"/>
        <v>0</v>
      </c>
      <c r="V102" s="153"/>
      <c r="W102" s="169">
        <v>0</v>
      </c>
      <c r="X102" s="169">
        <v>0</v>
      </c>
      <c r="Y102" s="153"/>
      <c r="Z102" s="153"/>
      <c r="AA102" s="169">
        <v>0</v>
      </c>
      <c r="AB102" s="169">
        <v>0</v>
      </c>
      <c r="AC102" s="169">
        <f t="shared" si="5"/>
        <v>0</v>
      </c>
      <c r="AD102" s="169"/>
      <c r="AE102" s="169"/>
      <c r="AF102" s="153"/>
      <c r="AG102" s="153"/>
      <c r="AH102" s="169">
        <v>0</v>
      </c>
      <c r="AI102" s="169">
        <v>0</v>
      </c>
      <c r="AJ102" s="153"/>
      <c r="AK102" s="153"/>
      <c r="AL102" s="246"/>
    </row>
    <row r="103" spans="2:38" s="154" customFormat="1" ht="28.5" x14ac:dyDescent="0.45">
      <c r="B103" s="152" t="s">
        <v>304</v>
      </c>
      <c r="C103" s="191" t="s">
        <v>316</v>
      </c>
      <c r="D103" s="191" t="s">
        <v>1054</v>
      </c>
      <c r="E103" s="191" t="s">
        <v>1055</v>
      </c>
      <c r="F103" s="191" t="s">
        <v>1056</v>
      </c>
      <c r="G103" s="183"/>
      <c r="H103" s="183"/>
      <c r="I103" s="162">
        <v>2019</v>
      </c>
      <c r="J103" s="153"/>
      <c r="K103" s="153"/>
      <c r="L103" s="153"/>
      <c r="M103" s="153"/>
      <c r="N103" s="153"/>
      <c r="O103" s="153"/>
      <c r="P103" s="153"/>
      <c r="Q103" s="153"/>
      <c r="R103" s="153" t="s">
        <v>1049</v>
      </c>
      <c r="S103" s="153"/>
      <c r="T103" s="153"/>
      <c r="U103" s="153">
        <f t="shared" si="6"/>
        <v>0</v>
      </c>
      <c r="V103" s="153"/>
      <c r="W103" s="169">
        <v>0</v>
      </c>
      <c r="X103" s="169">
        <v>0</v>
      </c>
      <c r="Y103" s="153"/>
      <c r="Z103" s="153"/>
      <c r="AA103" s="169">
        <v>0</v>
      </c>
      <c r="AB103" s="169">
        <v>0</v>
      </c>
      <c r="AC103" s="169">
        <f t="shared" si="5"/>
        <v>0</v>
      </c>
      <c r="AD103" s="169"/>
      <c r="AE103" s="169"/>
      <c r="AF103" s="153"/>
      <c r="AG103" s="153"/>
      <c r="AH103" s="169">
        <v>0</v>
      </c>
      <c r="AI103" s="169">
        <v>0</v>
      </c>
      <c r="AJ103" s="153"/>
      <c r="AK103" s="153"/>
      <c r="AL103" s="246"/>
    </row>
    <row r="104" spans="2:38" s="154" customFormat="1" ht="57" x14ac:dyDescent="0.45">
      <c r="B104" s="152" t="s">
        <v>304</v>
      </c>
      <c r="C104" s="191" t="s">
        <v>316</v>
      </c>
      <c r="D104" s="191" t="s">
        <v>1057</v>
      </c>
      <c r="E104" s="191" t="s">
        <v>1058</v>
      </c>
      <c r="F104" s="191" t="s">
        <v>1059</v>
      </c>
      <c r="G104" s="183"/>
      <c r="H104" s="183"/>
      <c r="I104" s="162">
        <v>2019</v>
      </c>
      <c r="J104" s="153"/>
      <c r="K104" s="153"/>
      <c r="L104" s="153"/>
      <c r="M104" s="153"/>
      <c r="N104" s="153" t="s">
        <v>798</v>
      </c>
      <c r="O104" s="153"/>
      <c r="P104" s="153" t="s">
        <v>756</v>
      </c>
      <c r="Q104" s="153" t="s">
        <v>757</v>
      </c>
      <c r="R104" s="153"/>
      <c r="S104" s="153"/>
      <c r="T104" s="153"/>
      <c r="U104" s="153">
        <f t="shared" si="6"/>
        <v>0</v>
      </c>
      <c r="V104" s="153"/>
      <c r="W104" s="169">
        <v>0</v>
      </c>
      <c r="X104" s="192">
        <v>3389.36834</v>
      </c>
      <c r="Y104" s="153" t="s">
        <v>95</v>
      </c>
      <c r="Z104" s="153" t="s">
        <v>95</v>
      </c>
      <c r="AA104" s="169">
        <v>0</v>
      </c>
      <c r="AB104" s="192">
        <f>3654.9904+500</f>
        <v>4154.9904000000006</v>
      </c>
      <c r="AC104" s="169">
        <f t="shared" si="5"/>
        <v>7544.3587400000006</v>
      </c>
      <c r="AD104" s="169"/>
      <c r="AE104" s="169"/>
      <c r="AF104" s="153" t="s">
        <v>95</v>
      </c>
      <c r="AG104" s="153" t="s">
        <v>95</v>
      </c>
      <c r="AH104" s="169">
        <v>0</v>
      </c>
      <c r="AI104" s="192">
        <f>4729.9904+500</f>
        <v>5229.9903999999997</v>
      </c>
      <c r="AJ104" s="153" t="s">
        <v>95</v>
      </c>
      <c r="AK104" s="153" t="s">
        <v>95</v>
      </c>
      <c r="AL104" s="245" t="s">
        <v>758</v>
      </c>
    </row>
    <row r="105" spans="2:38" s="154" customFormat="1" ht="28.5" x14ac:dyDescent="0.45">
      <c r="B105" s="152" t="s">
        <v>304</v>
      </c>
      <c r="C105" s="191" t="s">
        <v>316</v>
      </c>
      <c r="D105" s="191" t="s">
        <v>1060</v>
      </c>
      <c r="E105" s="191" t="s">
        <v>1061</v>
      </c>
      <c r="F105" s="191" t="s">
        <v>1062</v>
      </c>
      <c r="G105" s="183"/>
      <c r="H105" s="183"/>
      <c r="I105" s="162">
        <v>2020</v>
      </c>
      <c r="J105" s="153"/>
      <c r="K105" s="153"/>
      <c r="L105" s="153"/>
      <c r="M105" s="153"/>
      <c r="N105" s="153"/>
      <c r="O105" s="153"/>
      <c r="P105" s="153"/>
      <c r="Q105" s="153"/>
      <c r="R105" s="153" t="s">
        <v>1058</v>
      </c>
      <c r="S105" s="153"/>
      <c r="T105" s="153"/>
      <c r="U105" s="153">
        <f t="shared" si="6"/>
        <v>0</v>
      </c>
      <c r="V105" s="153"/>
      <c r="W105" s="169">
        <v>0</v>
      </c>
      <c r="X105" s="169">
        <v>0</v>
      </c>
      <c r="Y105" s="153"/>
      <c r="Z105" s="153"/>
      <c r="AA105" s="169">
        <v>0</v>
      </c>
      <c r="AB105" s="169">
        <v>0</v>
      </c>
      <c r="AC105" s="169">
        <f t="shared" si="5"/>
        <v>0</v>
      </c>
      <c r="AD105" s="169"/>
      <c r="AE105" s="169"/>
      <c r="AF105" s="153"/>
      <c r="AG105" s="153"/>
      <c r="AH105" s="169">
        <v>0</v>
      </c>
      <c r="AI105" s="169">
        <v>0</v>
      </c>
      <c r="AJ105" s="153"/>
      <c r="AK105" s="153"/>
      <c r="AL105" s="246"/>
    </row>
    <row r="106" spans="2:38" s="154" customFormat="1" ht="28.5" x14ac:dyDescent="0.45">
      <c r="B106" s="152" t="s">
        <v>304</v>
      </c>
      <c r="C106" s="191" t="s">
        <v>317</v>
      </c>
      <c r="D106" s="191" t="s">
        <v>1063</v>
      </c>
      <c r="E106" s="191" t="s">
        <v>1064</v>
      </c>
      <c r="F106" s="191" t="s">
        <v>1065</v>
      </c>
      <c r="G106" s="183"/>
      <c r="H106" s="183"/>
      <c r="I106" s="162">
        <v>2013</v>
      </c>
      <c r="J106" s="153"/>
      <c r="K106" s="153"/>
      <c r="L106" s="153"/>
      <c r="M106" s="153"/>
      <c r="N106" s="153"/>
      <c r="O106" s="153"/>
      <c r="P106" s="153"/>
      <c r="Q106" s="153"/>
      <c r="R106" s="153" t="s">
        <v>803</v>
      </c>
      <c r="S106" s="153"/>
      <c r="T106" s="153"/>
      <c r="U106" s="153">
        <f t="shared" si="6"/>
        <v>0</v>
      </c>
      <c r="V106" s="153"/>
      <c r="W106" s="169">
        <v>0</v>
      </c>
      <c r="X106" s="169">
        <v>0</v>
      </c>
      <c r="Y106" s="153"/>
      <c r="Z106" s="153"/>
      <c r="AA106" s="169">
        <v>0</v>
      </c>
      <c r="AB106" s="169">
        <v>0</v>
      </c>
      <c r="AC106" s="169">
        <f t="shared" si="5"/>
        <v>0</v>
      </c>
      <c r="AD106" s="169"/>
      <c r="AE106" s="169"/>
      <c r="AF106" s="153"/>
      <c r="AG106" s="153"/>
      <c r="AH106" s="169">
        <v>0</v>
      </c>
      <c r="AI106" s="169">
        <v>0</v>
      </c>
      <c r="AJ106" s="153"/>
      <c r="AK106" s="153"/>
      <c r="AL106" s="246"/>
    </row>
    <row r="107" spans="2:38" s="154" customFormat="1" ht="28.5" x14ac:dyDescent="0.45">
      <c r="B107" s="152" t="s">
        <v>304</v>
      </c>
      <c r="C107" s="191" t="s">
        <v>317</v>
      </c>
      <c r="D107" s="191" t="s">
        <v>1066</v>
      </c>
      <c r="E107" s="191" t="s">
        <v>1067</v>
      </c>
      <c r="F107" s="191" t="s">
        <v>1068</v>
      </c>
      <c r="G107" s="183"/>
      <c r="H107" s="183"/>
      <c r="I107" s="162">
        <v>2013</v>
      </c>
      <c r="J107" s="153"/>
      <c r="K107" s="153"/>
      <c r="L107" s="153"/>
      <c r="M107" s="153"/>
      <c r="N107" s="153"/>
      <c r="O107" s="153"/>
      <c r="P107" s="153"/>
      <c r="Q107" s="153"/>
      <c r="R107" s="153" t="s">
        <v>803</v>
      </c>
      <c r="S107" s="153"/>
      <c r="T107" s="153"/>
      <c r="U107" s="153">
        <f t="shared" si="6"/>
        <v>0</v>
      </c>
      <c r="V107" s="153"/>
      <c r="W107" s="169">
        <v>0</v>
      </c>
      <c r="X107" s="169">
        <v>0</v>
      </c>
      <c r="Y107" s="153"/>
      <c r="Z107" s="153"/>
      <c r="AA107" s="169">
        <v>0</v>
      </c>
      <c r="AB107" s="169">
        <v>0</v>
      </c>
      <c r="AC107" s="169">
        <f t="shared" si="5"/>
        <v>0</v>
      </c>
      <c r="AD107" s="169"/>
      <c r="AE107" s="169"/>
      <c r="AF107" s="153"/>
      <c r="AG107" s="153"/>
      <c r="AH107" s="169">
        <v>0</v>
      </c>
      <c r="AI107" s="169">
        <v>0</v>
      </c>
      <c r="AJ107" s="153"/>
      <c r="AK107" s="153"/>
      <c r="AL107" s="246"/>
    </row>
    <row r="108" spans="2:38" s="154" customFormat="1" ht="28.5" x14ac:dyDescent="0.45">
      <c r="B108" s="152" t="s">
        <v>304</v>
      </c>
      <c r="C108" s="191" t="s">
        <v>317</v>
      </c>
      <c r="D108" s="191" t="s">
        <v>1069</v>
      </c>
      <c r="E108" s="191" t="s">
        <v>1070</v>
      </c>
      <c r="F108" s="191" t="s">
        <v>1071</v>
      </c>
      <c r="G108" s="183"/>
      <c r="H108" s="183"/>
      <c r="I108" s="162">
        <v>2013</v>
      </c>
      <c r="J108" s="153"/>
      <c r="K108" s="153"/>
      <c r="L108" s="153"/>
      <c r="M108" s="153"/>
      <c r="N108" s="153"/>
      <c r="O108" s="153"/>
      <c r="P108" s="153"/>
      <c r="Q108" s="153"/>
      <c r="R108" s="153" t="s">
        <v>803</v>
      </c>
      <c r="S108" s="153"/>
      <c r="T108" s="153"/>
      <c r="U108" s="153">
        <f t="shared" si="6"/>
        <v>0</v>
      </c>
      <c r="V108" s="153"/>
      <c r="W108" s="169">
        <v>0</v>
      </c>
      <c r="X108" s="169">
        <v>0</v>
      </c>
      <c r="Y108" s="153"/>
      <c r="Z108" s="153"/>
      <c r="AA108" s="169">
        <v>0</v>
      </c>
      <c r="AB108" s="169">
        <v>0</v>
      </c>
      <c r="AC108" s="169">
        <f t="shared" si="5"/>
        <v>0</v>
      </c>
      <c r="AD108" s="169"/>
      <c r="AE108" s="169"/>
      <c r="AF108" s="153"/>
      <c r="AG108" s="153"/>
      <c r="AH108" s="169">
        <v>0</v>
      </c>
      <c r="AI108" s="169">
        <v>0</v>
      </c>
      <c r="AJ108" s="153"/>
      <c r="AK108" s="153"/>
      <c r="AL108" s="246"/>
    </row>
    <row r="109" spans="2:38" s="154" customFormat="1" ht="28.5" x14ac:dyDescent="0.45">
      <c r="B109" s="152" t="s">
        <v>304</v>
      </c>
      <c r="C109" s="191" t="s">
        <v>317</v>
      </c>
      <c r="D109" s="191" t="s">
        <v>1072</v>
      </c>
      <c r="E109" s="191" t="s">
        <v>1073</v>
      </c>
      <c r="F109" s="191" t="s">
        <v>1074</v>
      </c>
      <c r="G109" s="183"/>
      <c r="H109" s="183"/>
      <c r="I109" s="162">
        <v>2013</v>
      </c>
      <c r="J109" s="153"/>
      <c r="K109" s="153"/>
      <c r="L109" s="153"/>
      <c r="M109" s="153"/>
      <c r="N109" s="153"/>
      <c r="O109" s="153"/>
      <c r="P109" s="153"/>
      <c r="Q109" s="153"/>
      <c r="R109" s="153" t="s">
        <v>803</v>
      </c>
      <c r="S109" s="153"/>
      <c r="T109" s="153"/>
      <c r="U109" s="153">
        <f t="shared" si="6"/>
        <v>0</v>
      </c>
      <c r="V109" s="153"/>
      <c r="W109" s="169">
        <v>0</v>
      </c>
      <c r="X109" s="169">
        <v>0</v>
      </c>
      <c r="Y109" s="153"/>
      <c r="Z109" s="153"/>
      <c r="AA109" s="169">
        <v>0</v>
      </c>
      <c r="AB109" s="169">
        <v>0</v>
      </c>
      <c r="AC109" s="169">
        <f t="shared" si="5"/>
        <v>0</v>
      </c>
      <c r="AD109" s="169"/>
      <c r="AE109" s="169"/>
      <c r="AF109" s="153"/>
      <c r="AG109" s="153"/>
      <c r="AH109" s="169">
        <v>0</v>
      </c>
      <c r="AI109" s="169">
        <v>0</v>
      </c>
      <c r="AJ109" s="153"/>
      <c r="AK109" s="153"/>
      <c r="AL109" s="246"/>
    </row>
    <row r="110" spans="2:38" s="154" customFormat="1" ht="28.5" x14ac:dyDescent="0.45">
      <c r="B110" s="152" t="s">
        <v>304</v>
      </c>
      <c r="C110" s="191" t="s">
        <v>317</v>
      </c>
      <c r="D110" s="191" t="s">
        <v>1075</v>
      </c>
      <c r="E110" s="191" t="s">
        <v>1076</v>
      </c>
      <c r="F110" s="191" t="s">
        <v>1077</v>
      </c>
      <c r="G110" s="183"/>
      <c r="H110" s="183"/>
      <c r="I110" s="162">
        <v>2013</v>
      </c>
      <c r="J110" s="153"/>
      <c r="K110" s="153"/>
      <c r="L110" s="153"/>
      <c r="M110" s="153"/>
      <c r="N110" s="153"/>
      <c r="O110" s="153"/>
      <c r="P110" s="153"/>
      <c r="Q110" s="153"/>
      <c r="R110" s="153" t="s">
        <v>803</v>
      </c>
      <c r="S110" s="153"/>
      <c r="T110" s="153"/>
      <c r="U110" s="153">
        <f t="shared" si="6"/>
        <v>0</v>
      </c>
      <c r="V110" s="153"/>
      <c r="W110" s="169">
        <v>0</v>
      </c>
      <c r="X110" s="169">
        <v>0</v>
      </c>
      <c r="Y110" s="153"/>
      <c r="Z110" s="153"/>
      <c r="AA110" s="169">
        <v>0</v>
      </c>
      <c r="AB110" s="169">
        <v>0</v>
      </c>
      <c r="AC110" s="169">
        <f t="shared" si="5"/>
        <v>0</v>
      </c>
      <c r="AD110" s="169"/>
      <c r="AE110" s="169"/>
      <c r="AF110" s="153"/>
      <c r="AG110" s="153"/>
      <c r="AH110" s="169">
        <v>0</v>
      </c>
      <c r="AI110" s="169">
        <v>0</v>
      </c>
      <c r="AJ110" s="153"/>
      <c r="AK110" s="153"/>
      <c r="AL110" s="246"/>
    </row>
    <row r="111" spans="2:38" s="154" customFormat="1" ht="28.5" x14ac:dyDescent="0.45">
      <c r="B111" s="152" t="s">
        <v>304</v>
      </c>
      <c r="C111" s="191" t="s">
        <v>317</v>
      </c>
      <c r="D111" s="191" t="s">
        <v>1078</v>
      </c>
      <c r="E111" s="191" t="s">
        <v>1079</v>
      </c>
      <c r="F111" s="191" t="s">
        <v>1080</v>
      </c>
      <c r="G111" s="183"/>
      <c r="H111" s="183"/>
      <c r="I111" s="162">
        <v>2017</v>
      </c>
      <c r="J111" s="153"/>
      <c r="K111" s="153"/>
      <c r="L111" s="153"/>
      <c r="M111" s="153"/>
      <c r="N111" s="153"/>
      <c r="O111" s="153"/>
      <c r="P111" s="153"/>
      <c r="Q111" s="153"/>
      <c r="R111" s="153" t="s">
        <v>803</v>
      </c>
      <c r="S111" s="153"/>
      <c r="T111" s="153"/>
      <c r="U111" s="153">
        <f t="shared" si="6"/>
        <v>0</v>
      </c>
      <c r="V111" s="153"/>
      <c r="W111" s="169">
        <v>0</v>
      </c>
      <c r="X111" s="169">
        <v>0</v>
      </c>
      <c r="Y111" s="153"/>
      <c r="Z111" s="153"/>
      <c r="AA111" s="169">
        <v>0</v>
      </c>
      <c r="AB111" s="169">
        <v>0</v>
      </c>
      <c r="AC111" s="169">
        <f t="shared" si="5"/>
        <v>0</v>
      </c>
      <c r="AD111" s="169"/>
      <c r="AE111" s="169"/>
      <c r="AF111" s="153"/>
      <c r="AG111" s="153"/>
      <c r="AH111" s="169">
        <v>0</v>
      </c>
      <c r="AI111" s="169">
        <v>0</v>
      </c>
      <c r="AJ111" s="153"/>
      <c r="AK111" s="153"/>
      <c r="AL111" s="246"/>
    </row>
    <row r="112" spans="2:38" s="154" customFormat="1" ht="28.5" x14ac:dyDescent="0.45">
      <c r="B112" s="152" t="s">
        <v>304</v>
      </c>
      <c r="C112" s="191" t="s">
        <v>317</v>
      </c>
      <c r="D112" s="191" t="s">
        <v>1081</v>
      </c>
      <c r="E112" s="191" t="s">
        <v>803</v>
      </c>
      <c r="F112" s="191" t="s">
        <v>1082</v>
      </c>
      <c r="G112" s="183"/>
      <c r="H112" s="183"/>
      <c r="I112" s="162">
        <v>2013</v>
      </c>
      <c r="J112" s="153"/>
      <c r="K112" s="153"/>
      <c r="L112" s="153"/>
      <c r="M112" s="153"/>
      <c r="N112" s="153" t="s">
        <v>755</v>
      </c>
      <c r="O112" s="153"/>
      <c r="P112" s="153" t="s">
        <v>756</v>
      </c>
      <c r="Q112" s="153" t="s">
        <v>757</v>
      </c>
      <c r="R112" s="153"/>
      <c r="S112" s="153"/>
      <c r="T112" s="153"/>
      <c r="U112" s="153">
        <f t="shared" si="6"/>
        <v>0</v>
      </c>
      <c r="V112" s="153"/>
      <c r="W112" s="192">
        <v>2139.6889714724398</v>
      </c>
      <c r="X112" s="192">
        <v>12213.500639999998</v>
      </c>
      <c r="Y112" s="153" t="s">
        <v>95</v>
      </c>
      <c r="Z112" s="153" t="s">
        <v>95</v>
      </c>
      <c r="AA112" s="192">
        <v>5472.7429154222946</v>
      </c>
      <c r="AB112" s="192">
        <v>12153.3721811346</v>
      </c>
      <c r="AC112" s="169">
        <f t="shared" si="5"/>
        <v>31979.304708029333</v>
      </c>
      <c r="AD112" s="169"/>
      <c r="AE112" s="169"/>
      <c r="AF112" s="153" t="s">
        <v>95</v>
      </c>
      <c r="AG112" s="153" t="s">
        <v>95</v>
      </c>
      <c r="AH112" s="192">
        <v>3077.9116826633976</v>
      </c>
      <c r="AI112" s="192">
        <v>12153.3721811346</v>
      </c>
      <c r="AJ112" s="153" t="s">
        <v>95</v>
      </c>
      <c r="AK112" s="153" t="s">
        <v>95</v>
      </c>
      <c r="AL112" s="246"/>
    </row>
    <row r="113" spans="1:38" s="154" customFormat="1" ht="42.75" x14ac:dyDescent="0.45">
      <c r="B113" s="152" t="s">
        <v>304</v>
      </c>
      <c r="C113" s="191" t="s">
        <v>319</v>
      </c>
      <c r="D113" s="191" t="s">
        <v>1083</v>
      </c>
      <c r="E113" s="191" t="s">
        <v>1084</v>
      </c>
      <c r="F113" s="191" t="s">
        <v>1085</v>
      </c>
      <c r="G113" s="183"/>
      <c r="H113" s="183"/>
      <c r="I113" s="162">
        <v>2013</v>
      </c>
      <c r="J113" s="153"/>
      <c r="K113" s="153"/>
      <c r="L113" s="153"/>
      <c r="M113" s="153"/>
      <c r="N113" s="153" t="s">
        <v>798</v>
      </c>
      <c r="O113" s="153" t="s">
        <v>799</v>
      </c>
      <c r="P113" s="153" t="s">
        <v>756</v>
      </c>
      <c r="Q113" s="153" t="s">
        <v>757</v>
      </c>
      <c r="R113" s="153"/>
      <c r="S113" s="153"/>
      <c r="T113" s="153"/>
      <c r="U113" s="153">
        <f t="shared" si="6"/>
        <v>0</v>
      </c>
      <c r="V113" s="153"/>
      <c r="W113" s="169">
        <v>0</v>
      </c>
      <c r="X113" s="192">
        <v>447.62563</v>
      </c>
      <c r="Y113" s="153" t="s">
        <v>95</v>
      </c>
      <c r="Z113" s="153" t="s">
        <v>95</v>
      </c>
      <c r="AA113" s="169">
        <v>0</v>
      </c>
      <c r="AB113" s="192">
        <v>447.62563</v>
      </c>
      <c r="AC113" s="169">
        <f t="shared" si="5"/>
        <v>895.25126</v>
      </c>
      <c r="AD113" s="169"/>
      <c r="AE113" s="169"/>
      <c r="AF113" s="153" t="s">
        <v>95</v>
      </c>
      <c r="AG113" s="153" t="s">
        <v>95</v>
      </c>
      <c r="AH113" s="169">
        <v>0</v>
      </c>
      <c r="AI113" s="192">
        <v>447.62563</v>
      </c>
      <c r="AJ113" s="153" t="s">
        <v>95</v>
      </c>
      <c r="AK113" s="153" t="s">
        <v>95</v>
      </c>
      <c r="AL113" s="245" t="s">
        <v>1086</v>
      </c>
    </row>
    <row r="114" spans="1:38" s="154" customFormat="1" ht="28.5" x14ac:dyDescent="0.45">
      <c r="B114" s="152" t="s">
        <v>304</v>
      </c>
      <c r="C114" s="191" t="s">
        <v>319</v>
      </c>
      <c r="D114" s="191" t="s">
        <v>1087</v>
      </c>
      <c r="E114" s="191" t="s">
        <v>1088</v>
      </c>
      <c r="F114" s="191" t="s">
        <v>1089</v>
      </c>
      <c r="G114" s="183"/>
      <c r="H114" s="183"/>
      <c r="I114" s="162">
        <v>2013</v>
      </c>
      <c r="J114" s="153"/>
      <c r="K114" s="153"/>
      <c r="L114" s="153"/>
      <c r="M114" s="153"/>
      <c r="N114" s="153" t="s">
        <v>755</v>
      </c>
      <c r="O114" s="153"/>
      <c r="P114" s="153" t="s">
        <v>756</v>
      </c>
      <c r="Q114" s="153" t="s">
        <v>757</v>
      </c>
      <c r="R114" s="153"/>
      <c r="S114" s="153"/>
      <c r="T114" s="153"/>
      <c r="U114" s="153">
        <f t="shared" si="6"/>
        <v>0</v>
      </c>
      <c r="V114" s="153"/>
      <c r="W114" s="169">
        <v>4473.8742305678397</v>
      </c>
      <c r="X114" s="192">
        <v>8227.1675999999989</v>
      </c>
      <c r="Y114" s="153" t="s">
        <v>95</v>
      </c>
      <c r="Z114" s="153" t="s">
        <v>95</v>
      </c>
      <c r="AA114" s="169">
        <v>3302.1294195999899</v>
      </c>
      <c r="AB114" s="192">
        <f>8247.49254+1139</f>
        <v>9386.4925399999993</v>
      </c>
      <c r="AC114" s="169">
        <f t="shared" si="5"/>
        <v>25389.66379016783</v>
      </c>
      <c r="AD114" s="169"/>
      <c r="AE114" s="169"/>
      <c r="AF114" s="153" t="s">
        <v>95</v>
      </c>
      <c r="AG114" s="153" t="s">
        <v>95</v>
      </c>
      <c r="AH114" s="169">
        <v>2656.47032588</v>
      </c>
      <c r="AI114" s="192">
        <f>8249.91008000001+939</f>
        <v>9188.9100800000106</v>
      </c>
      <c r="AJ114" s="153" t="s">
        <v>95</v>
      </c>
      <c r="AK114" s="153" t="s">
        <v>95</v>
      </c>
      <c r="AL114" s="246"/>
    </row>
    <row r="115" spans="1:38" s="154" customFormat="1" ht="28.5" x14ac:dyDescent="0.45">
      <c r="B115" s="152" t="s">
        <v>304</v>
      </c>
      <c r="C115" s="191" t="s">
        <v>319</v>
      </c>
      <c r="D115" s="191" t="s">
        <v>1090</v>
      </c>
      <c r="E115" s="191" t="s">
        <v>1091</v>
      </c>
      <c r="F115" s="191" t="s">
        <v>1092</v>
      </c>
      <c r="G115" s="183"/>
      <c r="H115" s="183"/>
      <c r="I115" s="162">
        <v>2013</v>
      </c>
      <c r="J115" s="153"/>
      <c r="K115" s="153"/>
      <c r="L115" s="153"/>
      <c r="M115" s="153"/>
      <c r="N115" s="153"/>
      <c r="O115" s="153"/>
      <c r="P115" s="153"/>
      <c r="Q115" s="153"/>
      <c r="R115" s="153" t="s">
        <v>1088</v>
      </c>
      <c r="S115" s="153"/>
      <c r="T115" s="153"/>
      <c r="U115" s="153">
        <f t="shared" si="6"/>
        <v>0</v>
      </c>
      <c r="V115" s="153"/>
      <c r="W115" s="169">
        <v>0</v>
      </c>
      <c r="X115" s="169">
        <v>0</v>
      </c>
      <c r="Y115" s="153"/>
      <c r="Z115" s="153"/>
      <c r="AA115" s="169">
        <v>0</v>
      </c>
      <c r="AB115" s="169">
        <v>0</v>
      </c>
      <c r="AC115" s="169">
        <f t="shared" si="5"/>
        <v>0</v>
      </c>
      <c r="AD115" s="169"/>
      <c r="AE115" s="169"/>
      <c r="AF115" s="153"/>
      <c r="AG115" s="153"/>
      <c r="AH115" s="169">
        <v>0</v>
      </c>
      <c r="AI115" s="169">
        <v>0</v>
      </c>
      <c r="AJ115" s="153"/>
      <c r="AK115" s="153"/>
      <c r="AL115" s="246"/>
    </row>
    <row r="116" spans="1:38" s="154" customFormat="1" ht="28.5" x14ac:dyDescent="0.45">
      <c r="B116" s="152" t="s">
        <v>304</v>
      </c>
      <c r="C116" s="191" t="s">
        <v>319</v>
      </c>
      <c r="D116" s="191" t="s">
        <v>1093</v>
      </c>
      <c r="E116" s="191" t="s">
        <v>1094</v>
      </c>
      <c r="F116" s="191" t="s">
        <v>1095</v>
      </c>
      <c r="G116" s="183"/>
      <c r="H116" s="183"/>
      <c r="I116" s="162">
        <v>2013</v>
      </c>
      <c r="J116" s="153"/>
      <c r="K116" s="153"/>
      <c r="L116" s="153"/>
      <c r="M116" s="153"/>
      <c r="N116" s="153"/>
      <c r="O116" s="153"/>
      <c r="P116" s="153"/>
      <c r="Q116" s="153"/>
      <c r="R116" s="153" t="s">
        <v>1088</v>
      </c>
      <c r="S116" s="153"/>
      <c r="T116" s="153"/>
      <c r="U116" s="153">
        <f t="shared" si="6"/>
        <v>0</v>
      </c>
      <c r="V116" s="153"/>
      <c r="W116" s="169">
        <v>0</v>
      </c>
      <c r="X116" s="169">
        <v>0</v>
      </c>
      <c r="Y116" s="153"/>
      <c r="Z116" s="153"/>
      <c r="AA116" s="169">
        <v>0</v>
      </c>
      <c r="AB116" s="169">
        <v>0</v>
      </c>
      <c r="AC116" s="169">
        <f t="shared" si="5"/>
        <v>0</v>
      </c>
      <c r="AD116" s="169"/>
      <c r="AE116" s="169"/>
      <c r="AF116" s="153"/>
      <c r="AG116" s="153"/>
      <c r="AH116" s="169">
        <v>0</v>
      </c>
      <c r="AI116" s="169">
        <v>0</v>
      </c>
      <c r="AJ116" s="153"/>
      <c r="AK116" s="153"/>
      <c r="AL116" s="246"/>
    </row>
    <row r="117" spans="1:38" s="154" customFormat="1" ht="42.75" x14ac:dyDescent="0.45">
      <c r="B117" s="152" t="s">
        <v>304</v>
      </c>
      <c r="C117" s="191" t="s">
        <v>319</v>
      </c>
      <c r="D117" s="191" t="s">
        <v>1096</v>
      </c>
      <c r="E117" s="191" t="s">
        <v>1097</v>
      </c>
      <c r="F117" s="191" t="s">
        <v>1098</v>
      </c>
      <c r="G117" s="183"/>
      <c r="H117" s="183"/>
      <c r="I117" s="162">
        <v>2019</v>
      </c>
      <c r="J117" s="153"/>
      <c r="K117" s="153"/>
      <c r="L117" s="153"/>
      <c r="M117" s="153"/>
      <c r="N117" s="153"/>
      <c r="O117" s="153"/>
      <c r="P117" s="153"/>
      <c r="Q117" s="153"/>
      <c r="R117" s="153" t="s">
        <v>954</v>
      </c>
      <c r="S117" s="153"/>
      <c r="T117" s="153"/>
      <c r="U117" s="153">
        <f t="shared" si="6"/>
        <v>0</v>
      </c>
      <c r="V117" s="153"/>
      <c r="W117" s="169">
        <v>0</v>
      </c>
      <c r="X117" s="169">
        <v>0</v>
      </c>
      <c r="Y117" s="153"/>
      <c r="Z117" s="153"/>
      <c r="AA117" s="169">
        <v>0</v>
      </c>
      <c r="AB117" s="169">
        <v>0</v>
      </c>
      <c r="AC117" s="169">
        <f t="shared" si="5"/>
        <v>0</v>
      </c>
      <c r="AD117" s="169"/>
      <c r="AE117" s="169"/>
      <c r="AF117" s="153"/>
      <c r="AG117" s="153"/>
      <c r="AH117" s="169">
        <v>0</v>
      </c>
      <c r="AI117" s="169">
        <v>0</v>
      </c>
      <c r="AJ117" s="153"/>
      <c r="AK117" s="153"/>
      <c r="AL117" s="246"/>
    </row>
    <row r="118" spans="1:38" s="154" customFormat="1" ht="42.75" x14ac:dyDescent="0.45">
      <c r="B118" s="152" t="s">
        <v>304</v>
      </c>
      <c r="C118" s="191" t="s">
        <v>319</v>
      </c>
      <c r="D118" s="191" t="s">
        <v>1099</v>
      </c>
      <c r="E118" s="191" t="s">
        <v>1100</v>
      </c>
      <c r="F118" s="191"/>
      <c r="G118" s="130"/>
      <c r="H118" s="130"/>
      <c r="I118" s="162">
        <v>2012</v>
      </c>
      <c r="J118" s="153"/>
      <c r="K118" s="153"/>
      <c r="L118" s="153"/>
      <c r="M118" s="153"/>
      <c r="N118" s="153" t="s">
        <v>1101</v>
      </c>
      <c r="O118" s="153" t="s">
        <v>799</v>
      </c>
      <c r="P118" s="153" t="s">
        <v>756</v>
      </c>
      <c r="Q118" s="153" t="s">
        <v>757</v>
      </c>
      <c r="R118" s="153"/>
      <c r="S118" s="153"/>
      <c r="T118" s="153"/>
      <c r="U118" s="153">
        <f t="shared" si="6"/>
        <v>0</v>
      </c>
      <c r="V118" s="153"/>
      <c r="W118" s="169">
        <v>0</v>
      </c>
      <c r="X118" s="192">
        <v>85.764989999999997</v>
      </c>
      <c r="Y118" s="153" t="s">
        <v>95</v>
      </c>
      <c r="Z118" s="153" t="s">
        <v>95</v>
      </c>
      <c r="AA118" s="169">
        <v>0</v>
      </c>
      <c r="AB118" s="192">
        <v>85.764989999999997</v>
      </c>
      <c r="AC118" s="169">
        <f t="shared" si="5"/>
        <v>171.52997999999999</v>
      </c>
      <c r="AD118" s="169"/>
      <c r="AE118" s="169"/>
      <c r="AF118" s="153" t="s">
        <v>95</v>
      </c>
      <c r="AG118" s="153" t="s">
        <v>95</v>
      </c>
      <c r="AH118" s="169">
        <v>0</v>
      </c>
      <c r="AI118" s="192">
        <v>85.764989999999997</v>
      </c>
      <c r="AJ118" s="153" t="s">
        <v>95</v>
      </c>
      <c r="AK118" s="153" t="s">
        <v>95</v>
      </c>
      <c r="AL118" s="245" t="s">
        <v>1102</v>
      </c>
    </row>
    <row r="119" spans="1:38" ht="14.25" x14ac:dyDescent="0.45">
      <c r="T119" s="150"/>
      <c r="U119" s="150"/>
      <c r="V119" s="150"/>
      <c r="W119" s="168"/>
      <c r="X119" s="168"/>
      <c r="Y119" s="166"/>
      <c r="Z119" s="150"/>
      <c r="AA119" s="151"/>
      <c r="AB119" s="151"/>
      <c r="AC119" s="151"/>
      <c r="AD119" s="151"/>
      <c r="AE119" s="151"/>
      <c r="AF119" s="150"/>
      <c r="AG119" s="150"/>
      <c r="AH119" s="151"/>
      <c r="AI119" s="151"/>
      <c r="AJ119" s="150"/>
      <c r="AK119" s="150"/>
    </row>
    <row r="120" spans="1:38" ht="16.7" customHeight="1" x14ac:dyDescent="0.45">
      <c r="AB120" s="181"/>
      <c r="AC120" s="181"/>
      <c r="AD120" s="181"/>
      <c r="AE120" s="181"/>
    </row>
    <row r="121" spans="1:38" ht="16.7" customHeight="1" x14ac:dyDescent="0.45">
      <c r="A121" s="17" t="s">
        <v>1103</v>
      </c>
    </row>
    <row r="122" spans="1:38" ht="27" customHeight="1" x14ac:dyDescent="0.45">
      <c r="A122" s="17" t="s">
        <v>1104</v>
      </c>
    </row>
    <row r="123" spans="1:38" ht="27" customHeight="1" x14ac:dyDescent="0.45">
      <c r="A123" s="17" t="s">
        <v>1105</v>
      </c>
    </row>
  </sheetData>
  <dataValidations count="3">
    <dataValidation type="list" allowBlank="1" showInputMessage="1" showErrorMessage="1" sqref="B119:D127" xr:uid="{F6F78370-C51E-49D2-9678-A7FEFADC01BF}">
      <formula1>#REF!</formula1>
    </dataValidation>
    <dataValidation type="custom" operator="greaterThanOrEqual" allowBlank="1" showInputMessage="1" showErrorMessage="1" error="This cell only accepts a number of &quot;NA&quot;_x000a_" sqref="I8:M118 W8:AK118" xr:uid="{A77F14C3-2729-4F4A-9AB8-A42771B14B2B}">
      <formula1>OR(AND(ISNUMBER(I8), I8&gt;=0), I8 ="NA")</formula1>
    </dataValidation>
    <dataValidation type="list" allowBlank="1" showInputMessage="1" showErrorMessage="1" sqref="R8:R118 S24:S28 S8:S13 S15 S17:S22 S37:S48 S53 S57:S58 S61 S66:S69 S71:S72 S74:S76 S78:S87 S89:S118" xr:uid="{7AF8813C-CB48-4FC6-B125-234E52B85B5F}">
      <formula1>$E$8:$E$117</formula1>
    </dataValidation>
  </dataValidations>
  <pageMargins left="0.7" right="0.7" top="0.75" bottom="0.75" header="0.3" footer="0.3"/>
  <pageSetup paperSize="5" scale="22" fitToHeight="0" orientation="landscape" r:id="rId1"/>
  <headerFooter>
    <oddFooter>&amp;LSDGE 2021 WMP - &amp;A&amp;C&amp;P&amp;R&amp;D</oddFooter>
  </headerFooter>
  <rowBreaks count="1" manualBreakCount="1">
    <brk id="67" max="32" man="1"/>
  </rowBreaks>
  <customProperties>
    <customPr name="_pios_id" r:id="rId2"/>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32EBCE7D-A6A5-491A-A96E-73BBFE990148}">
          <x14:formula1>
            <xm:f>'C:\Users\kraagas\AppData\Local\Microsoft\Windows\INetCache\Content.Outlook\FY0QXE3Y\[20200105 Update Attachment 2.3 to WSD-011.xlsx]Quarterly Submission Guide'!#REF!</xm:f>
          </x14:formula1>
          <xm:sqref>G15:G95 G118:H118 H8:H95</xm:sqref>
        </x14:dataValidation>
        <x14:dataValidation type="list" allowBlank="1" showInputMessage="1" showErrorMessage="1" xr:uid="{FF9CA44C-5FD5-423F-ADB2-EB7095B8F231}">
          <x14:formula1>
            <xm:f>'Quarterly Submission Guide'!#REF!</xm:f>
          </x14:formula1>
          <xm:sqref>B8:C118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07F4-F9B8-43EB-842F-E9F53D9A6C72}">
  <sheetPr codeName="Sheet2">
    <pageSetUpPr fitToPage="1"/>
  </sheetPr>
  <dimension ref="B1:X63"/>
  <sheetViews>
    <sheetView zoomScale="70" zoomScaleNormal="70" zoomScaleSheetLayoutView="25" zoomScalePageLayoutView="60" workbookViewId="0">
      <selection activeCell="D64" sqref="D64"/>
    </sheetView>
  </sheetViews>
  <sheetFormatPr defaultColWidth="0" defaultRowHeight="14.25" outlineLevelCol="1" x14ac:dyDescent="0.45"/>
  <cols>
    <col min="1" max="1" width="5.59765625" style="8" customWidth="1"/>
    <col min="2" max="2" width="36.265625" style="1" customWidth="1"/>
    <col min="3" max="3" width="11.265625" style="8" bestFit="1" customWidth="1"/>
    <col min="4" max="4" width="105.1328125" style="8" customWidth="1"/>
    <col min="5" max="8" width="10.1328125" style="8" bestFit="1" customWidth="1"/>
    <col min="9" max="9" width="10.265625" style="253" customWidth="1"/>
    <col min="10" max="13" width="9.265625" style="8" customWidth="1"/>
    <col min="14" max="14" width="9.265625" style="247" customWidth="1"/>
    <col min="15" max="22" width="9.265625" style="8" customWidth="1" outlineLevel="1"/>
    <col min="23" max="23" width="73" style="1" customWidth="1"/>
    <col min="24" max="24" width="74.3984375" style="8" customWidth="1"/>
    <col min="25" max="16384" width="0" style="8" hidden="1"/>
  </cols>
  <sheetData>
    <row r="1" spans="2:24" ht="14.65" thickBot="1" x14ac:dyDescent="0.5"/>
    <row r="2" spans="2:24" x14ac:dyDescent="0.45">
      <c r="B2" s="14" t="s">
        <v>0</v>
      </c>
      <c r="C2" s="19" t="str">
        <f>IF('Quarterly Submission Guide'!$D$20 = "", "",'Quarterly Submission Guide'!$D$20)</f>
        <v>SDG&amp;E</v>
      </c>
      <c r="D2" s="58" t="s">
        <v>1</v>
      </c>
    </row>
    <row r="3" spans="2:24" x14ac:dyDescent="0.45">
      <c r="B3" s="15" t="s">
        <v>2</v>
      </c>
      <c r="C3" s="13">
        <v>1</v>
      </c>
      <c r="D3" s="59" t="s">
        <v>3</v>
      </c>
    </row>
    <row r="4" spans="2:24" ht="14.65" thickBot="1" x14ac:dyDescent="0.5">
      <c r="B4" s="16" t="s">
        <v>4</v>
      </c>
      <c r="C4" s="30">
        <v>44232</v>
      </c>
      <c r="D4" s="57"/>
    </row>
    <row r="5" spans="2:24" x14ac:dyDescent="0.45">
      <c r="M5" s="62"/>
      <c r="N5" s="248"/>
      <c r="O5" s="62" t="s">
        <v>5</v>
      </c>
    </row>
    <row r="6" spans="2:24" ht="18" customHeight="1" x14ac:dyDescent="0.45">
      <c r="B6" s="3" t="s">
        <v>6</v>
      </c>
      <c r="C6" s="2"/>
      <c r="D6" s="2"/>
      <c r="E6" s="2"/>
      <c r="F6" s="2"/>
      <c r="G6" s="2"/>
      <c r="H6" s="2"/>
      <c r="I6" s="254"/>
      <c r="J6" s="4">
        <v>1</v>
      </c>
      <c r="K6" s="4">
        <v>2</v>
      </c>
      <c r="L6" s="4">
        <v>3</v>
      </c>
      <c r="M6" s="4">
        <v>4</v>
      </c>
      <c r="N6" s="249" t="s">
        <v>1107</v>
      </c>
      <c r="O6" s="4">
        <v>1</v>
      </c>
      <c r="P6" s="4">
        <v>2</v>
      </c>
      <c r="Q6" s="4">
        <v>3</v>
      </c>
      <c r="R6" s="4">
        <v>4</v>
      </c>
      <c r="S6" s="4">
        <v>1</v>
      </c>
      <c r="T6" s="4">
        <v>2</v>
      </c>
      <c r="U6" s="4">
        <v>3</v>
      </c>
      <c r="V6" s="4">
        <v>4</v>
      </c>
      <c r="W6" s="7"/>
      <c r="X6" s="2"/>
    </row>
    <row r="7" spans="2:24" x14ac:dyDescent="0.45">
      <c r="B7" s="5" t="s">
        <v>7</v>
      </c>
      <c r="C7" s="6" t="s">
        <v>8</v>
      </c>
      <c r="D7" s="6" t="s">
        <v>9</v>
      </c>
      <c r="E7" s="6">
        <v>2015</v>
      </c>
      <c r="F7" s="6">
        <v>2016</v>
      </c>
      <c r="G7" s="6">
        <v>2017</v>
      </c>
      <c r="H7" s="6">
        <v>2018</v>
      </c>
      <c r="I7" s="255">
        <v>2019</v>
      </c>
      <c r="J7" s="6">
        <v>2020</v>
      </c>
      <c r="K7" s="6">
        <v>2020</v>
      </c>
      <c r="L7" s="6">
        <v>2020</v>
      </c>
      <c r="M7" s="6">
        <v>2020</v>
      </c>
      <c r="N7" s="250">
        <v>2020</v>
      </c>
      <c r="O7" s="6">
        <v>2021</v>
      </c>
      <c r="P7" s="6">
        <v>2021</v>
      </c>
      <c r="Q7" s="6">
        <v>2021</v>
      </c>
      <c r="R7" s="6">
        <v>2021</v>
      </c>
      <c r="S7" s="6">
        <v>2022</v>
      </c>
      <c r="T7" s="6">
        <v>2022</v>
      </c>
      <c r="U7" s="6">
        <v>2022</v>
      </c>
      <c r="V7" s="6">
        <v>2022</v>
      </c>
      <c r="W7" s="5" t="s">
        <v>10</v>
      </c>
      <c r="X7" s="6" t="s">
        <v>11</v>
      </c>
    </row>
    <row r="8" spans="2:24" ht="28.5" x14ac:dyDescent="0.45">
      <c r="B8" s="11" t="s">
        <v>12</v>
      </c>
      <c r="C8" s="9" t="s">
        <v>13</v>
      </c>
      <c r="D8" s="11" t="s">
        <v>14</v>
      </c>
      <c r="E8" s="167">
        <v>3443</v>
      </c>
      <c r="F8" s="167">
        <v>3443</v>
      </c>
      <c r="G8" s="167">
        <v>3443</v>
      </c>
      <c r="H8" s="167">
        <v>3443</v>
      </c>
      <c r="I8" s="256">
        <v>3443</v>
      </c>
      <c r="J8" s="167">
        <v>1295</v>
      </c>
      <c r="K8" s="167">
        <v>1246</v>
      </c>
      <c r="L8" s="167">
        <v>800</v>
      </c>
      <c r="M8" s="167">
        <v>102</v>
      </c>
      <c r="N8" s="251">
        <f>SUM(J8:M8)</f>
        <v>3443</v>
      </c>
      <c r="O8" s="115"/>
      <c r="P8" s="115"/>
      <c r="Q8" s="115"/>
      <c r="R8" s="115"/>
      <c r="S8" s="115"/>
      <c r="T8" s="115"/>
      <c r="U8" s="115"/>
      <c r="V8" s="115"/>
      <c r="W8" s="11" t="s">
        <v>15</v>
      </c>
      <c r="X8" s="115"/>
    </row>
    <row r="9" spans="2:24" x14ac:dyDescent="0.45">
      <c r="B9" s="35"/>
      <c r="C9" s="36" t="s">
        <v>16</v>
      </c>
      <c r="D9" s="35" t="s">
        <v>17</v>
      </c>
      <c r="E9" s="167">
        <v>756</v>
      </c>
      <c r="F9" s="167">
        <v>880</v>
      </c>
      <c r="G9" s="167">
        <v>692</v>
      </c>
      <c r="H9" s="167">
        <v>510</v>
      </c>
      <c r="I9" s="256">
        <v>680</v>
      </c>
      <c r="J9" s="167">
        <v>361</v>
      </c>
      <c r="K9" s="167">
        <v>289</v>
      </c>
      <c r="L9" s="167">
        <v>90</v>
      </c>
      <c r="M9" s="167">
        <v>20</v>
      </c>
      <c r="N9" s="251">
        <f t="shared" ref="N9:N62" si="0">SUM(J9:M9)</f>
        <v>760</v>
      </c>
      <c r="O9" s="117"/>
      <c r="P9" s="117"/>
      <c r="Q9" s="117"/>
      <c r="R9" s="117"/>
      <c r="S9" s="117"/>
      <c r="T9" s="117"/>
      <c r="U9" s="117"/>
      <c r="V9" s="117"/>
      <c r="W9" s="35" t="s">
        <v>15</v>
      </c>
      <c r="X9" s="117"/>
    </row>
    <row r="10" spans="2:24" ht="28.5" x14ac:dyDescent="0.45">
      <c r="B10" s="35"/>
      <c r="C10" s="36" t="s">
        <v>18</v>
      </c>
      <c r="D10" s="35" t="s">
        <v>19</v>
      </c>
      <c r="E10" s="167">
        <v>766</v>
      </c>
      <c r="F10" s="167">
        <v>542</v>
      </c>
      <c r="G10" s="167">
        <v>644</v>
      </c>
      <c r="H10" s="167">
        <v>948</v>
      </c>
      <c r="I10" s="256">
        <v>261</v>
      </c>
      <c r="J10" s="167">
        <v>490</v>
      </c>
      <c r="K10" s="167">
        <v>0</v>
      </c>
      <c r="L10" s="167">
        <v>0</v>
      </c>
      <c r="M10" s="167">
        <v>0</v>
      </c>
      <c r="N10" s="251">
        <f t="shared" si="0"/>
        <v>490</v>
      </c>
      <c r="O10" s="117"/>
      <c r="P10" s="117"/>
      <c r="Q10" s="117"/>
      <c r="R10" s="117"/>
      <c r="S10" s="117"/>
      <c r="T10" s="117"/>
      <c r="U10" s="117"/>
      <c r="V10" s="117"/>
      <c r="W10" s="35" t="s">
        <v>15</v>
      </c>
      <c r="X10" s="117"/>
    </row>
    <row r="11" spans="2:24" x14ac:dyDescent="0.45">
      <c r="B11" s="35"/>
      <c r="C11" s="36" t="s">
        <v>20</v>
      </c>
      <c r="D11" s="74" t="s">
        <v>21</v>
      </c>
      <c r="E11" s="167">
        <v>15</v>
      </c>
      <c r="F11" s="167">
        <v>7</v>
      </c>
      <c r="G11" s="167">
        <v>4</v>
      </c>
      <c r="H11" s="167">
        <v>8</v>
      </c>
      <c r="I11" s="256">
        <v>9</v>
      </c>
      <c r="J11" s="167">
        <v>7</v>
      </c>
      <c r="K11" s="167">
        <v>4</v>
      </c>
      <c r="L11" s="167">
        <v>1</v>
      </c>
      <c r="M11" s="167">
        <v>1</v>
      </c>
      <c r="N11" s="251">
        <f t="shared" si="0"/>
        <v>13</v>
      </c>
      <c r="O11" s="117"/>
      <c r="P11" s="117"/>
      <c r="Q11" s="117"/>
      <c r="R11" s="117"/>
      <c r="S11" s="117"/>
      <c r="T11" s="117"/>
      <c r="U11" s="117"/>
      <c r="V11" s="117"/>
      <c r="W11" s="35" t="s">
        <v>22</v>
      </c>
      <c r="X11" s="117"/>
    </row>
    <row r="12" spans="2:24" x14ac:dyDescent="0.45">
      <c r="B12" s="35"/>
      <c r="C12" s="36" t="s">
        <v>23</v>
      </c>
      <c r="D12" s="145" t="s">
        <v>24</v>
      </c>
      <c r="E12" s="167">
        <v>242</v>
      </c>
      <c r="F12" s="167">
        <v>100</v>
      </c>
      <c r="G12" s="167">
        <v>50</v>
      </c>
      <c r="H12" s="167">
        <v>45</v>
      </c>
      <c r="I12" s="256">
        <v>24</v>
      </c>
      <c r="J12" s="167">
        <v>4</v>
      </c>
      <c r="K12" s="167">
        <v>8</v>
      </c>
      <c r="L12" s="167">
        <v>2</v>
      </c>
      <c r="M12" s="167">
        <v>0</v>
      </c>
      <c r="N12" s="251">
        <f t="shared" si="0"/>
        <v>14</v>
      </c>
      <c r="O12" s="117"/>
      <c r="P12" s="117"/>
      <c r="Q12" s="117"/>
      <c r="R12" s="117"/>
      <c r="S12" s="117"/>
      <c r="T12" s="117"/>
      <c r="U12" s="117"/>
      <c r="V12" s="117"/>
      <c r="W12" s="35" t="s">
        <v>22</v>
      </c>
      <c r="X12" s="117"/>
    </row>
    <row r="13" spans="2:24" x14ac:dyDescent="0.45">
      <c r="B13" s="35"/>
      <c r="C13" s="36" t="s">
        <v>25</v>
      </c>
      <c r="D13" s="35" t="s">
        <v>26</v>
      </c>
      <c r="E13" s="167">
        <v>50</v>
      </c>
      <c r="F13" s="167">
        <v>2</v>
      </c>
      <c r="G13" s="167">
        <v>19</v>
      </c>
      <c r="H13" s="167">
        <v>60</v>
      </c>
      <c r="I13" s="256">
        <v>2</v>
      </c>
      <c r="J13" s="167">
        <v>5</v>
      </c>
      <c r="K13" s="167">
        <v>0</v>
      </c>
      <c r="L13" s="167">
        <v>0</v>
      </c>
      <c r="M13" s="167">
        <v>0</v>
      </c>
      <c r="N13" s="251">
        <f t="shared" si="0"/>
        <v>5</v>
      </c>
      <c r="O13" s="117"/>
      <c r="P13" s="117"/>
      <c r="Q13" s="117"/>
      <c r="R13" s="117"/>
      <c r="S13" s="117"/>
      <c r="T13" s="117"/>
      <c r="U13" s="117"/>
      <c r="V13" s="117"/>
      <c r="W13" s="35" t="s">
        <v>22</v>
      </c>
      <c r="X13" s="117"/>
    </row>
    <row r="14" spans="2:24" x14ac:dyDescent="0.45">
      <c r="B14" s="35"/>
      <c r="C14" s="36" t="s">
        <v>27</v>
      </c>
      <c r="D14" s="74" t="s">
        <v>28</v>
      </c>
      <c r="E14" s="167">
        <v>157</v>
      </c>
      <c r="F14" s="167">
        <v>177</v>
      </c>
      <c r="G14" s="167">
        <v>177</v>
      </c>
      <c r="H14" s="167">
        <v>141</v>
      </c>
      <c r="I14" s="256">
        <v>201</v>
      </c>
      <c r="J14" s="167">
        <v>42</v>
      </c>
      <c r="K14" s="167">
        <v>52</v>
      </c>
      <c r="L14" s="167">
        <v>48</v>
      </c>
      <c r="M14" s="167">
        <v>14</v>
      </c>
      <c r="N14" s="251">
        <f t="shared" si="0"/>
        <v>156</v>
      </c>
      <c r="O14" s="117"/>
      <c r="P14" s="117"/>
      <c r="Q14" s="117"/>
      <c r="R14" s="117"/>
      <c r="S14" s="117"/>
      <c r="T14" s="117"/>
      <c r="U14" s="117"/>
      <c r="V14" s="117"/>
      <c r="W14" s="35" t="s">
        <v>22</v>
      </c>
      <c r="X14" s="117"/>
    </row>
    <row r="15" spans="2:24" x14ac:dyDescent="0.45">
      <c r="B15" s="35"/>
      <c r="C15" s="36" t="s">
        <v>29</v>
      </c>
      <c r="D15" s="145" t="s">
        <v>30</v>
      </c>
      <c r="E15" s="167">
        <v>576</v>
      </c>
      <c r="F15" s="167">
        <v>720</v>
      </c>
      <c r="G15" s="167">
        <v>370</v>
      </c>
      <c r="H15" s="167">
        <v>354</v>
      </c>
      <c r="I15" s="256">
        <v>488</v>
      </c>
      <c r="J15" s="167">
        <v>262</v>
      </c>
      <c r="K15" s="167">
        <v>231</v>
      </c>
      <c r="L15" s="167">
        <v>11</v>
      </c>
      <c r="M15" s="167">
        <v>10</v>
      </c>
      <c r="N15" s="251">
        <f t="shared" si="0"/>
        <v>514</v>
      </c>
      <c r="O15" s="117"/>
      <c r="P15" s="117"/>
      <c r="Q15" s="117"/>
      <c r="R15" s="117"/>
      <c r="S15" s="117"/>
      <c r="T15" s="117"/>
      <c r="U15" s="117"/>
      <c r="V15" s="117"/>
      <c r="W15" s="35" t="s">
        <v>22</v>
      </c>
      <c r="X15" s="117"/>
    </row>
    <row r="16" spans="2:24" x14ac:dyDescent="0.45">
      <c r="B16" s="35"/>
      <c r="C16" s="36" t="s">
        <v>31</v>
      </c>
      <c r="D16" s="35" t="s">
        <v>32</v>
      </c>
      <c r="E16" s="167">
        <v>438</v>
      </c>
      <c r="F16" s="167">
        <v>612</v>
      </c>
      <c r="G16" s="167">
        <v>449</v>
      </c>
      <c r="H16" s="167">
        <v>313</v>
      </c>
      <c r="I16" s="256">
        <v>409</v>
      </c>
      <c r="J16" s="167">
        <v>451</v>
      </c>
      <c r="K16" s="167">
        <v>0</v>
      </c>
      <c r="L16" s="167">
        <v>0</v>
      </c>
      <c r="M16" s="167">
        <v>0</v>
      </c>
      <c r="N16" s="251">
        <f t="shared" si="0"/>
        <v>451</v>
      </c>
      <c r="O16" s="117"/>
      <c r="P16" s="117"/>
      <c r="Q16" s="117"/>
      <c r="R16" s="117"/>
      <c r="S16" s="117"/>
      <c r="T16" s="117"/>
      <c r="U16" s="117"/>
      <c r="V16" s="117"/>
      <c r="W16" s="35" t="s">
        <v>22</v>
      </c>
      <c r="X16" s="117"/>
    </row>
    <row r="17" spans="2:24" x14ac:dyDescent="0.45">
      <c r="B17" s="35"/>
      <c r="C17" s="36" t="s">
        <v>33</v>
      </c>
      <c r="D17" s="35" t="s">
        <v>34</v>
      </c>
      <c r="E17" s="167" t="s">
        <v>35</v>
      </c>
      <c r="F17" s="167" t="s">
        <v>35</v>
      </c>
      <c r="G17" s="167" t="s">
        <v>35</v>
      </c>
      <c r="H17" s="167" t="s">
        <v>35</v>
      </c>
      <c r="I17" s="256" t="s">
        <v>35</v>
      </c>
      <c r="J17" s="167" t="s">
        <v>35</v>
      </c>
      <c r="K17" s="167" t="s">
        <v>35</v>
      </c>
      <c r="L17" s="167" t="s">
        <v>35</v>
      </c>
      <c r="M17" s="167" t="s">
        <v>35</v>
      </c>
      <c r="N17" s="251">
        <f t="shared" si="0"/>
        <v>0</v>
      </c>
      <c r="O17" s="117"/>
      <c r="P17" s="117"/>
      <c r="Q17" s="117"/>
      <c r="R17" s="117"/>
      <c r="S17" s="117"/>
      <c r="T17" s="117"/>
      <c r="U17" s="117"/>
      <c r="V17" s="117"/>
      <c r="W17" s="35" t="s">
        <v>22</v>
      </c>
      <c r="X17" s="117"/>
    </row>
    <row r="18" spans="2:24" x14ac:dyDescent="0.45">
      <c r="B18" s="35"/>
      <c r="C18" s="36" t="s">
        <v>36</v>
      </c>
      <c r="D18" s="35" t="s">
        <v>37</v>
      </c>
      <c r="E18" s="167" t="s">
        <v>35</v>
      </c>
      <c r="F18" s="167" t="s">
        <v>35</v>
      </c>
      <c r="G18" s="167" t="s">
        <v>35</v>
      </c>
      <c r="H18" s="167" t="s">
        <v>35</v>
      </c>
      <c r="I18" s="256" t="s">
        <v>35</v>
      </c>
      <c r="J18" s="167" t="s">
        <v>35</v>
      </c>
      <c r="K18" s="167" t="s">
        <v>35</v>
      </c>
      <c r="L18" s="167" t="s">
        <v>35</v>
      </c>
      <c r="M18" s="167" t="s">
        <v>35</v>
      </c>
      <c r="N18" s="251">
        <f t="shared" si="0"/>
        <v>0</v>
      </c>
      <c r="O18" s="117"/>
      <c r="P18" s="117"/>
      <c r="Q18" s="117"/>
      <c r="R18" s="117"/>
      <c r="S18" s="117"/>
      <c r="T18" s="117"/>
      <c r="U18" s="117"/>
      <c r="V18" s="117"/>
      <c r="W18" s="35" t="s">
        <v>22</v>
      </c>
      <c r="X18" s="117"/>
    </row>
    <row r="19" spans="2:24" x14ac:dyDescent="0.45">
      <c r="B19" s="35"/>
      <c r="C19" s="36" t="s">
        <v>38</v>
      </c>
      <c r="D19" s="35" t="s">
        <v>39</v>
      </c>
      <c r="E19" s="167" t="s">
        <v>35</v>
      </c>
      <c r="F19" s="167" t="s">
        <v>35</v>
      </c>
      <c r="G19" s="167" t="s">
        <v>35</v>
      </c>
      <c r="H19" s="167" t="s">
        <v>35</v>
      </c>
      <c r="I19" s="256" t="s">
        <v>35</v>
      </c>
      <c r="J19" s="167" t="s">
        <v>35</v>
      </c>
      <c r="K19" s="167" t="s">
        <v>35</v>
      </c>
      <c r="L19" s="167" t="s">
        <v>35</v>
      </c>
      <c r="M19" s="167" t="s">
        <v>35</v>
      </c>
      <c r="N19" s="251">
        <f t="shared" si="0"/>
        <v>0</v>
      </c>
      <c r="O19" s="117"/>
      <c r="P19" s="117"/>
      <c r="Q19" s="117"/>
      <c r="R19" s="117"/>
      <c r="S19" s="117"/>
      <c r="T19" s="117"/>
      <c r="U19" s="117"/>
      <c r="V19" s="117"/>
      <c r="W19" s="35" t="s">
        <v>22</v>
      </c>
      <c r="X19" s="117"/>
    </row>
    <row r="20" spans="2:24" ht="28.5" x14ac:dyDescent="0.45">
      <c r="B20" s="35" t="s">
        <v>40</v>
      </c>
      <c r="C20" s="36" t="str">
        <f t="shared" ref="C20:C28" si="1">C8&amp;"ii."</f>
        <v>1.a.ii.</v>
      </c>
      <c r="D20" s="35" t="s">
        <v>41</v>
      </c>
      <c r="E20" s="167">
        <v>6445</v>
      </c>
      <c r="F20" s="167">
        <v>6445</v>
      </c>
      <c r="G20" s="167">
        <v>6445</v>
      </c>
      <c r="H20" s="167">
        <v>6445</v>
      </c>
      <c r="I20" s="256">
        <v>6445</v>
      </c>
      <c r="J20" s="167">
        <v>2242</v>
      </c>
      <c r="K20" s="167">
        <v>2188</v>
      </c>
      <c r="L20" s="167">
        <v>1564</v>
      </c>
      <c r="M20" s="167">
        <v>451</v>
      </c>
      <c r="N20" s="251">
        <f t="shared" si="0"/>
        <v>6445</v>
      </c>
      <c r="O20" s="117"/>
      <c r="P20" s="117"/>
      <c r="Q20" s="117"/>
      <c r="R20" s="117"/>
      <c r="S20" s="117"/>
      <c r="T20" s="117"/>
      <c r="U20" s="117"/>
      <c r="V20" s="117"/>
      <c r="W20" s="35" t="s">
        <v>15</v>
      </c>
      <c r="X20" s="117"/>
    </row>
    <row r="21" spans="2:24" x14ac:dyDescent="0.45">
      <c r="B21" s="35"/>
      <c r="C21" s="36" t="str">
        <f t="shared" si="1"/>
        <v>1.b.ii.</v>
      </c>
      <c r="D21" s="35" t="s">
        <v>42</v>
      </c>
      <c r="E21" s="167">
        <v>756</v>
      </c>
      <c r="F21" s="167">
        <v>880</v>
      </c>
      <c r="G21" s="167">
        <v>692</v>
      </c>
      <c r="H21" s="167">
        <v>510</v>
      </c>
      <c r="I21" s="256">
        <v>680</v>
      </c>
      <c r="J21" s="167">
        <v>361</v>
      </c>
      <c r="K21" s="167">
        <v>289</v>
      </c>
      <c r="L21" s="167">
        <v>90</v>
      </c>
      <c r="M21" s="167">
        <v>20</v>
      </c>
      <c r="N21" s="251">
        <f t="shared" si="0"/>
        <v>760</v>
      </c>
      <c r="O21" s="117"/>
      <c r="P21" s="117"/>
      <c r="Q21" s="117"/>
      <c r="R21" s="117"/>
      <c r="S21" s="117"/>
      <c r="T21" s="117"/>
      <c r="U21" s="117"/>
      <c r="V21" s="117"/>
      <c r="W21" s="35" t="s">
        <v>15</v>
      </c>
      <c r="X21" s="117"/>
    </row>
    <row r="22" spans="2:24" x14ac:dyDescent="0.45">
      <c r="B22" s="35"/>
      <c r="C22" s="36" t="str">
        <f t="shared" si="1"/>
        <v>1.c.ii.</v>
      </c>
      <c r="D22" s="145" t="s">
        <v>43</v>
      </c>
      <c r="E22" s="167">
        <v>766</v>
      </c>
      <c r="F22" s="167">
        <v>542</v>
      </c>
      <c r="G22" s="167">
        <v>644</v>
      </c>
      <c r="H22" s="167">
        <v>948</v>
      </c>
      <c r="I22" s="256">
        <v>261</v>
      </c>
      <c r="J22" s="167">
        <v>490</v>
      </c>
      <c r="K22" s="167">
        <v>0</v>
      </c>
      <c r="L22" s="167">
        <v>0</v>
      </c>
      <c r="M22" s="167">
        <v>0</v>
      </c>
      <c r="N22" s="251">
        <f t="shared" si="0"/>
        <v>490</v>
      </c>
      <c r="O22" s="117"/>
      <c r="P22" s="117"/>
      <c r="Q22" s="117"/>
      <c r="R22" s="117"/>
      <c r="S22" s="117"/>
      <c r="T22" s="117"/>
      <c r="U22" s="117"/>
      <c r="V22" s="117"/>
      <c r="W22" s="35" t="s">
        <v>15</v>
      </c>
      <c r="X22" s="117"/>
    </row>
    <row r="23" spans="2:24" x14ac:dyDescent="0.45">
      <c r="B23" s="35"/>
      <c r="C23" s="36" t="str">
        <f t="shared" si="1"/>
        <v>1.d.ii.</v>
      </c>
      <c r="D23" s="146" t="s">
        <v>44</v>
      </c>
      <c r="E23" s="167">
        <v>50</v>
      </c>
      <c r="F23" s="167">
        <v>23</v>
      </c>
      <c r="G23" s="167">
        <v>27</v>
      </c>
      <c r="H23" s="167">
        <v>26</v>
      </c>
      <c r="I23" s="256">
        <v>28</v>
      </c>
      <c r="J23" s="167">
        <v>8</v>
      </c>
      <c r="K23" s="167">
        <v>11</v>
      </c>
      <c r="L23" s="167">
        <v>2</v>
      </c>
      <c r="M23" s="167">
        <v>0</v>
      </c>
      <c r="N23" s="251">
        <f t="shared" si="0"/>
        <v>21</v>
      </c>
      <c r="O23" s="117"/>
      <c r="P23" s="117"/>
      <c r="Q23" s="117"/>
      <c r="R23" s="117"/>
      <c r="S23" s="117"/>
      <c r="T23" s="117"/>
      <c r="U23" s="117"/>
      <c r="V23" s="117"/>
      <c r="W23" s="35" t="s">
        <v>22</v>
      </c>
      <c r="X23" s="117"/>
    </row>
    <row r="24" spans="2:24" x14ac:dyDescent="0.45">
      <c r="B24" s="35"/>
      <c r="C24" s="36" t="str">
        <f t="shared" si="1"/>
        <v>1.e.ii.</v>
      </c>
      <c r="D24" s="146" t="s">
        <v>45</v>
      </c>
      <c r="E24" s="167">
        <v>21</v>
      </c>
      <c r="F24" s="167">
        <v>100</v>
      </c>
      <c r="G24" s="167">
        <v>65</v>
      </c>
      <c r="H24" s="167">
        <v>47</v>
      </c>
      <c r="I24" s="256">
        <v>32</v>
      </c>
      <c r="J24" s="167">
        <v>13</v>
      </c>
      <c r="K24" s="167">
        <v>20</v>
      </c>
      <c r="L24" s="167">
        <v>10</v>
      </c>
      <c r="M24" s="167">
        <v>0</v>
      </c>
      <c r="N24" s="251">
        <f t="shared" si="0"/>
        <v>43</v>
      </c>
      <c r="O24" s="117"/>
      <c r="P24" s="117"/>
      <c r="Q24" s="117"/>
      <c r="R24" s="117"/>
      <c r="S24" s="117"/>
      <c r="T24" s="117"/>
      <c r="U24" s="117"/>
      <c r="V24" s="117"/>
      <c r="W24" s="35" t="s">
        <v>22</v>
      </c>
      <c r="X24" s="117"/>
    </row>
    <row r="25" spans="2:24" x14ac:dyDescent="0.45">
      <c r="B25" s="35"/>
      <c r="C25" s="36" t="str">
        <f t="shared" si="1"/>
        <v>1.f.ii.</v>
      </c>
      <c r="D25" s="145" t="s">
        <v>46</v>
      </c>
      <c r="E25" s="167">
        <v>0</v>
      </c>
      <c r="F25" s="167">
        <v>0</v>
      </c>
      <c r="G25" s="167">
        <v>0</v>
      </c>
      <c r="H25" s="167">
        <v>0</v>
      </c>
      <c r="I25" s="256">
        <v>0</v>
      </c>
      <c r="J25" s="167">
        <v>0</v>
      </c>
      <c r="K25" s="167">
        <v>0</v>
      </c>
      <c r="L25" s="167">
        <v>0</v>
      </c>
      <c r="M25" s="167">
        <v>0</v>
      </c>
      <c r="N25" s="251">
        <f t="shared" si="0"/>
        <v>0</v>
      </c>
      <c r="O25" s="117"/>
      <c r="P25" s="117"/>
      <c r="Q25" s="117"/>
      <c r="R25" s="117"/>
      <c r="S25" s="117"/>
      <c r="T25" s="117"/>
      <c r="U25" s="117"/>
      <c r="V25" s="117"/>
      <c r="W25" s="35" t="s">
        <v>22</v>
      </c>
      <c r="X25" s="117"/>
    </row>
    <row r="26" spans="2:24" x14ac:dyDescent="0.45">
      <c r="B26" s="35"/>
      <c r="C26" s="36" t="str">
        <f t="shared" si="1"/>
        <v>1.g.ii.</v>
      </c>
      <c r="D26" s="146" t="s">
        <v>47</v>
      </c>
      <c r="E26" s="167">
        <v>620</v>
      </c>
      <c r="F26" s="167">
        <v>960</v>
      </c>
      <c r="G26" s="167">
        <v>791</v>
      </c>
      <c r="H26" s="167">
        <v>795</v>
      </c>
      <c r="I26" s="256">
        <v>756</v>
      </c>
      <c r="J26" s="167">
        <v>209</v>
      </c>
      <c r="K26" s="167">
        <v>103</v>
      </c>
      <c r="L26" s="167">
        <v>28</v>
      </c>
      <c r="M26" s="167">
        <v>7</v>
      </c>
      <c r="N26" s="251">
        <f t="shared" si="0"/>
        <v>347</v>
      </c>
      <c r="O26" s="117"/>
      <c r="P26" s="117"/>
      <c r="Q26" s="117"/>
      <c r="R26" s="117"/>
      <c r="S26" s="117"/>
      <c r="T26" s="117"/>
      <c r="U26" s="117"/>
      <c r="V26" s="117"/>
      <c r="W26" s="35" t="s">
        <v>22</v>
      </c>
      <c r="X26" s="117"/>
    </row>
    <row r="27" spans="2:24" x14ac:dyDescent="0.45">
      <c r="B27" s="35"/>
      <c r="C27" s="36" t="str">
        <f t="shared" si="1"/>
        <v>1.h.ii.</v>
      </c>
      <c r="D27" s="146" t="s">
        <v>48</v>
      </c>
      <c r="E27" s="167">
        <v>2043</v>
      </c>
      <c r="F27" s="167">
        <v>2073</v>
      </c>
      <c r="G27" s="167">
        <v>1683</v>
      </c>
      <c r="H27" s="167">
        <v>1354</v>
      </c>
      <c r="I27" s="256">
        <v>1572</v>
      </c>
      <c r="J27" s="167">
        <v>570</v>
      </c>
      <c r="K27" s="167">
        <v>591</v>
      </c>
      <c r="L27" s="167">
        <v>337</v>
      </c>
      <c r="M27" s="167">
        <v>87</v>
      </c>
      <c r="N27" s="251">
        <f t="shared" si="0"/>
        <v>1585</v>
      </c>
      <c r="O27" s="117"/>
      <c r="P27" s="117"/>
      <c r="Q27" s="117"/>
      <c r="R27" s="117"/>
      <c r="S27" s="117"/>
      <c r="T27" s="117"/>
      <c r="U27" s="117"/>
      <c r="V27" s="117"/>
      <c r="W27" s="35" t="s">
        <v>22</v>
      </c>
      <c r="X27" s="117"/>
    </row>
    <row r="28" spans="2:24" x14ac:dyDescent="0.45">
      <c r="B28" s="35"/>
      <c r="C28" s="36" t="str">
        <f t="shared" si="1"/>
        <v>1.i.ii.</v>
      </c>
      <c r="D28" s="35" t="s">
        <v>49</v>
      </c>
      <c r="E28" s="167">
        <v>0</v>
      </c>
      <c r="F28" s="167">
        <v>0</v>
      </c>
      <c r="G28" s="167">
        <v>0</v>
      </c>
      <c r="H28" s="167">
        <v>0</v>
      </c>
      <c r="I28" s="256">
        <v>0</v>
      </c>
      <c r="J28" s="167">
        <v>0</v>
      </c>
      <c r="K28" s="167">
        <v>0</v>
      </c>
      <c r="L28" s="167">
        <v>0</v>
      </c>
      <c r="M28" s="167">
        <v>0</v>
      </c>
      <c r="N28" s="251">
        <f t="shared" si="0"/>
        <v>0</v>
      </c>
      <c r="O28" s="117"/>
      <c r="P28" s="117"/>
      <c r="Q28" s="117"/>
      <c r="R28" s="117"/>
      <c r="S28" s="117"/>
      <c r="T28" s="117"/>
      <c r="U28" s="117"/>
      <c r="V28" s="117"/>
      <c r="W28" s="35" t="s">
        <v>22</v>
      </c>
      <c r="X28" s="117"/>
    </row>
    <row r="29" spans="2:24" x14ac:dyDescent="0.45">
      <c r="B29" s="35"/>
      <c r="C29" s="36" t="str">
        <f>C17&amp;"ii."</f>
        <v>1.j.ii.</v>
      </c>
      <c r="D29" s="35" t="s">
        <v>50</v>
      </c>
      <c r="E29" s="167" t="s">
        <v>35</v>
      </c>
      <c r="F29" s="167" t="s">
        <v>35</v>
      </c>
      <c r="G29" s="167" t="s">
        <v>35</v>
      </c>
      <c r="H29" s="167" t="s">
        <v>35</v>
      </c>
      <c r="I29" s="256" t="s">
        <v>35</v>
      </c>
      <c r="J29" s="167" t="s">
        <v>35</v>
      </c>
      <c r="K29" s="167" t="s">
        <v>35</v>
      </c>
      <c r="L29" s="167" t="s">
        <v>35</v>
      </c>
      <c r="M29" s="167" t="s">
        <v>35</v>
      </c>
      <c r="N29" s="251">
        <f t="shared" si="0"/>
        <v>0</v>
      </c>
      <c r="O29" s="117"/>
      <c r="P29" s="117"/>
      <c r="Q29" s="117"/>
      <c r="R29" s="117"/>
      <c r="S29" s="117"/>
      <c r="T29" s="117"/>
      <c r="U29" s="117"/>
      <c r="V29" s="117"/>
      <c r="W29" s="35" t="s">
        <v>22</v>
      </c>
      <c r="X29" s="117"/>
    </row>
    <row r="30" spans="2:24" x14ac:dyDescent="0.45">
      <c r="B30" s="35"/>
      <c r="C30" s="36" t="str">
        <f>C18&amp;"ii."</f>
        <v>1.k.ii.</v>
      </c>
      <c r="D30" s="35" t="s">
        <v>51</v>
      </c>
      <c r="E30" s="167" t="s">
        <v>35</v>
      </c>
      <c r="F30" s="167" t="s">
        <v>35</v>
      </c>
      <c r="G30" s="167" t="s">
        <v>35</v>
      </c>
      <c r="H30" s="167" t="s">
        <v>35</v>
      </c>
      <c r="I30" s="256" t="s">
        <v>35</v>
      </c>
      <c r="J30" s="167" t="s">
        <v>35</v>
      </c>
      <c r="K30" s="167" t="s">
        <v>35</v>
      </c>
      <c r="L30" s="167" t="s">
        <v>35</v>
      </c>
      <c r="M30" s="167" t="s">
        <v>35</v>
      </c>
      <c r="N30" s="251">
        <f t="shared" si="0"/>
        <v>0</v>
      </c>
      <c r="O30" s="117"/>
      <c r="P30" s="117"/>
      <c r="Q30" s="117"/>
      <c r="R30" s="117"/>
      <c r="S30" s="117"/>
      <c r="T30" s="117"/>
      <c r="U30" s="117"/>
      <c r="V30" s="117"/>
      <c r="W30" s="35" t="s">
        <v>22</v>
      </c>
      <c r="X30" s="117"/>
    </row>
    <row r="31" spans="2:24" x14ac:dyDescent="0.45">
      <c r="B31" s="35"/>
      <c r="C31" s="36" t="str">
        <f>C19&amp;"ii."</f>
        <v>1.l.ii.</v>
      </c>
      <c r="D31" s="35" t="s">
        <v>52</v>
      </c>
      <c r="E31" s="167" t="s">
        <v>35</v>
      </c>
      <c r="F31" s="167" t="s">
        <v>35</v>
      </c>
      <c r="G31" s="167" t="s">
        <v>35</v>
      </c>
      <c r="H31" s="167" t="s">
        <v>35</v>
      </c>
      <c r="I31" s="256" t="s">
        <v>35</v>
      </c>
      <c r="J31" s="167" t="s">
        <v>35</v>
      </c>
      <c r="K31" s="167" t="s">
        <v>35</v>
      </c>
      <c r="L31" s="167" t="s">
        <v>35</v>
      </c>
      <c r="M31" s="167" t="s">
        <v>35</v>
      </c>
      <c r="N31" s="251">
        <f t="shared" si="0"/>
        <v>0</v>
      </c>
      <c r="O31" s="117"/>
      <c r="P31" s="117"/>
      <c r="Q31" s="117"/>
      <c r="R31" s="117"/>
      <c r="S31" s="117"/>
      <c r="T31" s="117"/>
      <c r="U31" s="117"/>
      <c r="V31" s="117"/>
      <c r="W31" s="35" t="s">
        <v>22</v>
      </c>
      <c r="X31" s="117"/>
    </row>
    <row r="32" spans="2:24" ht="28.5" x14ac:dyDescent="0.45">
      <c r="B32" s="12" t="s">
        <v>53</v>
      </c>
      <c r="C32" s="10" t="str">
        <f t="shared" ref="C32:C43" si="2">C8&amp;"iii."</f>
        <v>1.a.iii.</v>
      </c>
      <c r="D32" s="12" t="s">
        <v>54</v>
      </c>
      <c r="E32" s="167">
        <v>915.4</v>
      </c>
      <c r="F32" s="167">
        <v>945.9</v>
      </c>
      <c r="G32" s="167">
        <v>945.9</v>
      </c>
      <c r="H32" s="167">
        <v>960.9</v>
      </c>
      <c r="I32" s="256">
        <v>973.8</v>
      </c>
      <c r="J32" s="167">
        <v>696.4</v>
      </c>
      <c r="K32" s="167">
        <v>176.1</v>
      </c>
      <c r="L32" s="167">
        <v>101.3</v>
      </c>
      <c r="M32" s="167">
        <v>0</v>
      </c>
      <c r="N32" s="251">
        <f t="shared" si="0"/>
        <v>973.8</v>
      </c>
      <c r="O32" s="116"/>
      <c r="P32" s="116"/>
      <c r="Q32" s="116"/>
      <c r="R32" s="116"/>
      <c r="S32" s="116"/>
      <c r="T32" s="116"/>
      <c r="U32" s="116"/>
      <c r="V32" s="116"/>
      <c r="W32" s="35" t="s">
        <v>15</v>
      </c>
      <c r="X32" s="116"/>
    </row>
    <row r="33" spans="2:24" x14ac:dyDescent="0.45">
      <c r="B33" s="12"/>
      <c r="C33" s="10" t="str">
        <f t="shared" si="2"/>
        <v>1.b.iii.</v>
      </c>
      <c r="D33" s="12" t="s">
        <v>55</v>
      </c>
      <c r="E33" s="167">
        <v>353.9</v>
      </c>
      <c r="F33" s="167">
        <v>263.60000000000002</v>
      </c>
      <c r="G33" s="167">
        <v>328.4</v>
      </c>
      <c r="H33" s="167">
        <v>332.9</v>
      </c>
      <c r="I33" s="256">
        <v>285.89999999999998</v>
      </c>
      <c r="J33" s="167">
        <v>40.6</v>
      </c>
      <c r="K33" s="167">
        <v>97.3</v>
      </c>
      <c r="L33" s="167">
        <v>84.1</v>
      </c>
      <c r="M33" s="167">
        <v>133.1</v>
      </c>
      <c r="N33" s="251">
        <f t="shared" si="0"/>
        <v>355.1</v>
      </c>
      <c r="O33" s="116"/>
      <c r="P33" s="116"/>
      <c r="Q33" s="116"/>
      <c r="R33" s="116"/>
      <c r="S33" s="116"/>
      <c r="T33" s="116"/>
      <c r="U33" s="116"/>
      <c r="V33" s="116"/>
      <c r="W33" s="35" t="s">
        <v>15</v>
      </c>
      <c r="X33" s="116"/>
    </row>
    <row r="34" spans="2:24" ht="28.5" x14ac:dyDescent="0.45">
      <c r="B34" s="12"/>
      <c r="C34" s="10" t="str">
        <f t="shared" si="2"/>
        <v>1.c.iii.</v>
      </c>
      <c r="D34" s="12" t="s">
        <v>56</v>
      </c>
      <c r="E34" s="167">
        <v>958.7</v>
      </c>
      <c r="F34" s="167">
        <v>933.7</v>
      </c>
      <c r="G34" s="167">
        <v>933.7</v>
      </c>
      <c r="H34" s="167">
        <v>961.1</v>
      </c>
      <c r="I34" s="256">
        <v>961.6</v>
      </c>
      <c r="J34" s="167">
        <v>0</v>
      </c>
      <c r="K34" s="167">
        <v>0</v>
      </c>
      <c r="L34" s="167">
        <v>473.3</v>
      </c>
      <c r="M34" s="167">
        <v>469.45</v>
      </c>
      <c r="N34" s="251">
        <f t="shared" si="0"/>
        <v>942.75</v>
      </c>
      <c r="O34" s="116"/>
      <c r="P34" s="116"/>
      <c r="Q34" s="116"/>
      <c r="R34" s="116"/>
      <c r="S34" s="116"/>
      <c r="T34" s="116"/>
      <c r="U34" s="116"/>
      <c r="V34" s="116"/>
      <c r="W34" s="35" t="s">
        <v>15</v>
      </c>
      <c r="X34" s="116"/>
    </row>
    <row r="35" spans="2:24" x14ac:dyDescent="0.45">
      <c r="B35" s="12"/>
      <c r="C35" s="10" t="str">
        <f t="shared" si="2"/>
        <v>1.d.iii.</v>
      </c>
      <c r="D35" s="12" t="s">
        <v>57</v>
      </c>
      <c r="E35" s="167">
        <v>0</v>
      </c>
      <c r="F35" s="167">
        <v>0</v>
      </c>
      <c r="G35" s="167">
        <v>0</v>
      </c>
      <c r="H35" s="167">
        <v>0</v>
      </c>
      <c r="I35" s="256">
        <v>0</v>
      </c>
      <c r="J35" s="167">
        <v>0</v>
      </c>
      <c r="K35" s="167">
        <v>0</v>
      </c>
      <c r="L35" s="167">
        <v>0</v>
      </c>
      <c r="M35" s="167">
        <v>0</v>
      </c>
      <c r="N35" s="251">
        <f t="shared" si="0"/>
        <v>0</v>
      </c>
      <c r="O35" s="116"/>
      <c r="P35" s="116"/>
      <c r="Q35" s="116"/>
      <c r="R35" s="116"/>
      <c r="S35" s="116"/>
      <c r="T35" s="116"/>
      <c r="U35" s="116"/>
      <c r="V35" s="116"/>
      <c r="W35" s="35" t="s">
        <v>22</v>
      </c>
      <c r="X35" s="116"/>
    </row>
    <row r="36" spans="2:24" x14ac:dyDescent="0.45">
      <c r="B36" s="12"/>
      <c r="C36" s="10" t="str">
        <f t="shared" si="2"/>
        <v>1.e.iii.</v>
      </c>
      <c r="D36" s="12" t="s">
        <v>58</v>
      </c>
      <c r="E36" s="167">
        <v>0</v>
      </c>
      <c r="F36" s="167">
        <v>0</v>
      </c>
      <c r="G36" s="167">
        <v>0</v>
      </c>
      <c r="H36" s="167">
        <v>2</v>
      </c>
      <c r="I36" s="256">
        <v>0</v>
      </c>
      <c r="J36" s="167">
        <v>0</v>
      </c>
      <c r="K36" s="167">
        <v>0</v>
      </c>
      <c r="L36" s="167">
        <v>0</v>
      </c>
      <c r="M36" s="167">
        <v>0</v>
      </c>
      <c r="N36" s="251">
        <f t="shared" si="0"/>
        <v>0</v>
      </c>
      <c r="O36" s="116"/>
      <c r="P36" s="116"/>
      <c r="Q36" s="116"/>
      <c r="R36" s="116"/>
      <c r="S36" s="116"/>
      <c r="T36" s="116"/>
      <c r="U36" s="116"/>
      <c r="V36" s="116"/>
      <c r="W36" s="35" t="s">
        <v>22</v>
      </c>
      <c r="X36" s="116"/>
    </row>
    <row r="37" spans="2:24" x14ac:dyDescent="0.45">
      <c r="B37" s="12"/>
      <c r="C37" s="10" t="str">
        <f t="shared" si="2"/>
        <v>1.f.iii.</v>
      </c>
      <c r="D37" s="12" t="s">
        <v>59</v>
      </c>
      <c r="E37" s="167">
        <v>0</v>
      </c>
      <c r="F37" s="167">
        <v>0</v>
      </c>
      <c r="G37" s="167">
        <v>0</v>
      </c>
      <c r="H37" s="167">
        <v>0</v>
      </c>
      <c r="I37" s="256">
        <v>0</v>
      </c>
      <c r="J37" s="167">
        <v>0</v>
      </c>
      <c r="K37" s="167">
        <v>0</v>
      </c>
      <c r="L37" s="167">
        <v>0</v>
      </c>
      <c r="M37" s="167">
        <v>1</v>
      </c>
      <c r="N37" s="251">
        <f t="shared" si="0"/>
        <v>1</v>
      </c>
      <c r="O37" s="116"/>
      <c r="P37" s="116"/>
      <c r="Q37" s="116"/>
      <c r="R37" s="116"/>
      <c r="S37" s="116"/>
      <c r="T37" s="116"/>
      <c r="U37" s="116"/>
      <c r="V37" s="116"/>
      <c r="W37" s="35" t="s">
        <v>22</v>
      </c>
      <c r="X37" s="116"/>
    </row>
    <row r="38" spans="2:24" x14ac:dyDescent="0.45">
      <c r="B38" s="12"/>
      <c r="C38" s="10" t="str">
        <f t="shared" si="2"/>
        <v>1.g.iii.</v>
      </c>
      <c r="D38" s="12" t="s">
        <v>60</v>
      </c>
      <c r="E38" s="167">
        <v>25</v>
      </c>
      <c r="F38" s="167">
        <v>19</v>
      </c>
      <c r="G38" s="167">
        <v>8</v>
      </c>
      <c r="H38" s="167">
        <v>9</v>
      </c>
      <c r="I38" s="256">
        <v>4</v>
      </c>
      <c r="J38" s="167">
        <v>0</v>
      </c>
      <c r="K38" s="167">
        <v>2</v>
      </c>
      <c r="L38" s="167">
        <v>0</v>
      </c>
      <c r="M38" s="167">
        <v>0</v>
      </c>
      <c r="N38" s="251">
        <f t="shared" si="0"/>
        <v>2</v>
      </c>
      <c r="O38" s="116"/>
      <c r="P38" s="116"/>
      <c r="Q38" s="116"/>
      <c r="R38" s="116"/>
      <c r="S38" s="116"/>
      <c r="T38" s="116"/>
      <c r="U38" s="116"/>
      <c r="V38" s="116"/>
      <c r="W38" s="35" t="s">
        <v>22</v>
      </c>
      <c r="X38" s="116"/>
    </row>
    <row r="39" spans="2:24" x14ac:dyDescent="0.45">
      <c r="B39" s="12"/>
      <c r="C39" s="10" t="str">
        <f t="shared" si="2"/>
        <v>1.h.iii.</v>
      </c>
      <c r="D39" s="12" t="s">
        <v>61</v>
      </c>
      <c r="E39" s="167">
        <v>469</v>
      </c>
      <c r="F39" s="167">
        <v>100</v>
      </c>
      <c r="G39" s="167">
        <v>156</v>
      </c>
      <c r="H39" s="167">
        <v>451</v>
      </c>
      <c r="I39" s="256">
        <v>226</v>
      </c>
      <c r="J39" s="167">
        <v>116</v>
      </c>
      <c r="K39" s="167">
        <v>122</v>
      </c>
      <c r="L39" s="167">
        <v>56</v>
      </c>
      <c r="M39" s="167">
        <v>63</v>
      </c>
      <c r="N39" s="251">
        <f t="shared" si="0"/>
        <v>357</v>
      </c>
      <c r="O39" s="116"/>
      <c r="P39" s="116"/>
      <c r="Q39" s="116"/>
      <c r="R39" s="116"/>
      <c r="S39" s="116"/>
      <c r="T39" s="116"/>
      <c r="U39" s="116"/>
      <c r="V39" s="116"/>
      <c r="W39" s="35" t="s">
        <v>22</v>
      </c>
      <c r="X39" s="116"/>
    </row>
    <row r="40" spans="2:24" x14ac:dyDescent="0.45">
      <c r="B40" s="12"/>
      <c r="C40" s="10" t="str">
        <f t="shared" si="2"/>
        <v>1.i.iii.</v>
      </c>
      <c r="D40" s="12" t="s">
        <v>62</v>
      </c>
      <c r="E40" s="167">
        <v>30</v>
      </c>
      <c r="F40" s="167">
        <v>22</v>
      </c>
      <c r="G40" s="167">
        <v>9</v>
      </c>
      <c r="H40" s="167">
        <v>6</v>
      </c>
      <c r="I40" s="256">
        <v>9</v>
      </c>
      <c r="J40" s="167">
        <v>0</v>
      </c>
      <c r="K40" s="167">
        <v>0</v>
      </c>
      <c r="L40" s="167">
        <v>10</v>
      </c>
      <c r="M40" s="167">
        <v>4</v>
      </c>
      <c r="N40" s="251">
        <f t="shared" si="0"/>
        <v>14</v>
      </c>
      <c r="O40" s="116"/>
      <c r="P40" s="116"/>
      <c r="Q40" s="116"/>
      <c r="R40" s="116"/>
      <c r="S40" s="116"/>
      <c r="T40" s="116"/>
      <c r="U40" s="116"/>
      <c r="V40" s="116"/>
      <c r="W40" s="35" t="s">
        <v>22</v>
      </c>
      <c r="X40" s="116"/>
    </row>
    <row r="41" spans="2:24" x14ac:dyDescent="0.45">
      <c r="B41" s="12"/>
      <c r="C41" s="10" t="str">
        <f t="shared" si="2"/>
        <v>1.j.iii.</v>
      </c>
      <c r="D41" s="12" t="s">
        <v>63</v>
      </c>
      <c r="E41" s="167">
        <v>0</v>
      </c>
      <c r="F41" s="167">
        <v>0</v>
      </c>
      <c r="G41" s="167">
        <v>0</v>
      </c>
      <c r="H41" s="167">
        <v>0</v>
      </c>
      <c r="I41" s="256">
        <v>0</v>
      </c>
      <c r="J41" s="167">
        <v>0</v>
      </c>
      <c r="K41" s="167">
        <v>0</v>
      </c>
      <c r="L41" s="167">
        <v>0</v>
      </c>
      <c r="M41" s="167">
        <v>0</v>
      </c>
      <c r="N41" s="251">
        <f t="shared" si="0"/>
        <v>0</v>
      </c>
      <c r="O41" s="116"/>
      <c r="P41" s="116"/>
      <c r="Q41" s="116"/>
      <c r="R41" s="116"/>
      <c r="S41" s="116"/>
      <c r="T41" s="116"/>
      <c r="U41" s="116"/>
      <c r="V41" s="116"/>
      <c r="W41" s="35" t="s">
        <v>22</v>
      </c>
      <c r="X41" s="116"/>
    </row>
    <row r="42" spans="2:24" x14ac:dyDescent="0.45">
      <c r="B42" s="12"/>
      <c r="C42" s="10" t="str">
        <f t="shared" si="2"/>
        <v>1.k.iii.</v>
      </c>
      <c r="D42" s="12" t="s">
        <v>64</v>
      </c>
      <c r="E42" s="167">
        <v>32</v>
      </c>
      <c r="F42" s="167">
        <v>30</v>
      </c>
      <c r="G42" s="167">
        <v>42</v>
      </c>
      <c r="H42" s="167">
        <v>31</v>
      </c>
      <c r="I42" s="256">
        <v>27</v>
      </c>
      <c r="J42" s="167">
        <v>0</v>
      </c>
      <c r="K42" s="167">
        <v>8</v>
      </c>
      <c r="L42" s="167">
        <v>0</v>
      </c>
      <c r="M42" s="167">
        <v>6</v>
      </c>
      <c r="N42" s="251">
        <f t="shared" si="0"/>
        <v>14</v>
      </c>
      <c r="O42" s="116"/>
      <c r="P42" s="116"/>
      <c r="Q42" s="116"/>
      <c r="R42" s="116"/>
      <c r="S42" s="116"/>
      <c r="T42" s="116"/>
      <c r="U42" s="116"/>
      <c r="V42" s="116"/>
      <c r="W42" s="35" t="s">
        <v>22</v>
      </c>
      <c r="X42" s="116"/>
    </row>
    <row r="43" spans="2:24" x14ac:dyDescent="0.45">
      <c r="B43" s="12"/>
      <c r="C43" s="10" t="str">
        <f t="shared" si="2"/>
        <v>1.l.iii.</v>
      </c>
      <c r="D43" s="12" t="s">
        <v>39</v>
      </c>
      <c r="E43" s="167">
        <v>0</v>
      </c>
      <c r="F43" s="167">
        <v>0</v>
      </c>
      <c r="G43" s="167">
        <v>18</v>
      </c>
      <c r="H43" s="167">
        <v>0</v>
      </c>
      <c r="I43" s="256">
        <v>0</v>
      </c>
      <c r="J43" s="167">
        <v>0</v>
      </c>
      <c r="K43" s="167">
        <v>0</v>
      </c>
      <c r="L43" s="167">
        <v>0</v>
      </c>
      <c r="M43" s="167">
        <v>0</v>
      </c>
      <c r="N43" s="251">
        <f t="shared" si="0"/>
        <v>0</v>
      </c>
      <c r="O43" s="116"/>
      <c r="P43" s="116"/>
      <c r="Q43" s="116"/>
      <c r="R43" s="116"/>
      <c r="S43" s="116"/>
      <c r="T43" s="116"/>
      <c r="U43" s="116"/>
      <c r="V43" s="116"/>
      <c r="W43" s="35" t="s">
        <v>22</v>
      </c>
      <c r="X43" s="116"/>
    </row>
    <row r="44" spans="2:24" ht="28.5" x14ac:dyDescent="0.45">
      <c r="B44" s="12" t="s">
        <v>65</v>
      </c>
      <c r="C44" s="10" t="str">
        <f t="shared" ref="C44:C52" si="3">C8&amp;"iv."</f>
        <v>1.a.iv.</v>
      </c>
      <c r="D44" s="12" t="s">
        <v>66</v>
      </c>
      <c r="E44" s="167">
        <v>1651.8</v>
      </c>
      <c r="F44" s="167">
        <v>1701.2</v>
      </c>
      <c r="G44" s="167">
        <v>1705.2</v>
      </c>
      <c r="H44" s="167">
        <v>1725.6</v>
      </c>
      <c r="I44" s="256">
        <v>1741.6</v>
      </c>
      <c r="J44" s="167">
        <v>1146.3</v>
      </c>
      <c r="K44" s="167">
        <v>467.4</v>
      </c>
      <c r="L44" s="167">
        <v>135.1</v>
      </c>
      <c r="M44" s="167">
        <v>0</v>
      </c>
      <c r="N44" s="251">
        <f t="shared" si="0"/>
        <v>1748.7999999999997</v>
      </c>
      <c r="O44" s="116"/>
      <c r="P44" s="116"/>
      <c r="Q44" s="116"/>
      <c r="R44" s="116"/>
      <c r="S44" s="116"/>
      <c r="T44" s="116"/>
      <c r="U44" s="116"/>
      <c r="V44" s="116"/>
      <c r="W44" s="35" t="s">
        <v>15</v>
      </c>
      <c r="X44" s="116"/>
    </row>
    <row r="45" spans="2:24" x14ac:dyDescent="0.45">
      <c r="B45" s="12"/>
      <c r="C45" s="10" t="str">
        <f t="shared" si="3"/>
        <v>1.b.iv.</v>
      </c>
      <c r="D45" s="12" t="s">
        <v>67</v>
      </c>
      <c r="E45" s="167">
        <v>639.1</v>
      </c>
      <c r="F45" s="167">
        <v>530.70000000000005</v>
      </c>
      <c r="G45" s="167">
        <v>565.79999999999995</v>
      </c>
      <c r="H45" s="167">
        <v>585.6</v>
      </c>
      <c r="I45" s="256">
        <v>527.29999999999995</v>
      </c>
      <c r="J45" s="167">
        <v>104.3</v>
      </c>
      <c r="K45" s="167">
        <v>194.8</v>
      </c>
      <c r="L45" s="167">
        <v>148.19999999999999</v>
      </c>
      <c r="M45" s="167">
        <v>177.62989999999999</v>
      </c>
      <c r="N45" s="251">
        <f t="shared" si="0"/>
        <v>624.92989999999998</v>
      </c>
      <c r="O45" s="116"/>
      <c r="P45" s="116"/>
      <c r="Q45" s="116"/>
      <c r="R45" s="116"/>
      <c r="S45" s="116"/>
      <c r="T45" s="116"/>
      <c r="U45" s="116"/>
      <c r="V45" s="116"/>
      <c r="W45" s="35" t="s">
        <v>15</v>
      </c>
      <c r="X45" s="116"/>
    </row>
    <row r="46" spans="2:24" x14ac:dyDescent="0.45">
      <c r="B46" s="12"/>
      <c r="C46" s="10" t="str">
        <f t="shared" si="3"/>
        <v>1.c.iv.</v>
      </c>
      <c r="D46" s="12" t="s">
        <v>68</v>
      </c>
      <c r="E46" s="167">
        <v>1699</v>
      </c>
      <c r="F46" s="167">
        <v>1663.9</v>
      </c>
      <c r="G46" s="167">
        <v>1664.2</v>
      </c>
      <c r="H46" s="167">
        <v>1695.6</v>
      </c>
      <c r="I46" s="256">
        <v>1703.2</v>
      </c>
      <c r="J46" s="167">
        <v>0</v>
      </c>
      <c r="K46" s="167">
        <v>17.5</v>
      </c>
      <c r="L46" s="167">
        <v>936.5</v>
      </c>
      <c r="M46" s="167">
        <v>722.25400000000002</v>
      </c>
      <c r="N46" s="251">
        <f t="shared" si="0"/>
        <v>1676.2539999999999</v>
      </c>
      <c r="O46" s="116"/>
      <c r="P46" s="116"/>
      <c r="Q46" s="116"/>
      <c r="R46" s="116"/>
      <c r="S46" s="116"/>
      <c r="T46" s="116"/>
      <c r="U46" s="116"/>
      <c r="V46" s="116"/>
      <c r="W46" s="35" t="s">
        <v>15</v>
      </c>
      <c r="X46" s="116"/>
    </row>
    <row r="47" spans="2:24" x14ac:dyDescent="0.45">
      <c r="B47" s="12"/>
      <c r="C47" s="10" t="str">
        <f t="shared" si="3"/>
        <v>1.d.iv.</v>
      </c>
      <c r="D47" s="12" t="s">
        <v>69</v>
      </c>
      <c r="E47" s="167">
        <v>1</v>
      </c>
      <c r="F47" s="167">
        <v>0</v>
      </c>
      <c r="G47" s="167">
        <v>2</v>
      </c>
      <c r="H47" s="167">
        <v>0</v>
      </c>
      <c r="I47" s="256">
        <v>0</v>
      </c>
      <c r="J47" s="167">
        <v>0</v>
      </c>
      <c r="K47" s="167">
        <v>0</v>
      </c>
      <c r="L47" s="167">
        <v>0</v>
      </c>
      <c r="M47" s="167">
        <v>0</v>
      </c>
      <c r="N47" s="251">
        <f t="shared" si="0"/>
        <v>0</v>
      </c>
      <c r="O47" s="116"/>
      <c r="P47" s="116"/>
      <c r="Q47" s="116"/>
      <c r="R47" s="116"/>
      <c r="S47" s="116"/>
      <c r="T47" s="116"/>
      <c r="U47" s="116"/>
      <c r="V47" s="116"/>
      <c r="W47" s="35" t="s">
        <v>22</v>
      </c>
      <c r="X47" s="116"/>
    </row>
    <row r="48" spans="2:24" x14ac:dyDescent="0.45">
      <c r="B48" s="12"/>
      <c r="C48" s="10" t="str">
        <f t="shared" si="3"/>
        <v>1.e.iv.</v>
      </c>
      <c r="D48" s="12" t="s">
        <v>70</v>
      </c>
      <c r="E48" s="167">
        <v>3</v>
      </c>
      <c r="F48" s="167">
        <v>1</v>
      </c>
      <c r="G48" s="167">
        <v>1</v>
      </c>
      <c r="H48" s="167">
        <v>8</v>
      </c>
      <c r="I48" s="256">
        <v>2</v>
      </c>
      <c r="J48" s="167">
        <v>0</v>
      </c>
      <c r="K48" s="167">
        <v>0</v>
      </c>
      <c r="L48" s="167">
        <v>0</v>
      </c>
      <c r="M48" s="167">
        <v>0</v>
      </c>
      <c r="N48" s="251">
        <f t="shared" si="0"/>
        <v>0</v>
      </c>
      <c r="O48" s="116"/>
      <c r="P48" s="116"/>
      <c r="Q48" s="116"/>
      <c r="R48" s="116"/>
      <c r="S48" s="116"/>
      <c r="T48" s="116"/>
      <c r="U48" s="116"/>
      <c r="V48" s="116"/>
      <c r="W48" s="35" t="s">
        <v>22</v>
      </c>
      <c r="X48" s="116"/>
    </row>
    <row r="49" spans="2:24" x14ac:dyDescent="0.45">
      <c r="B49" s="12"/>
      <c r="C49" s="10" t="str">
        <f t="shared" si="3"/>
        <v>1.f.iv.</v>
      </c>
      <c r="D49" s="12" t="s">
        <v>71</v>
      </c>
      <c r="E49" s="167">
        <v>6</v>
      </c>
      <c r="F49" s="167">
        <v>1</v>
      </c>
      <c r="G49" s="167">
        <v>1</v>
      </c>
      <c r="H49" s="167">
        <v>1</v>
      </c>
      <c r="I49" s="256">
        <v>8</v>
      </c>
      <c r="J49" s="167">
        <v>0</v>
      </c>
      <c r="K49" s="167">
        <v>0</v>
      </c>
      <c r="L49" s="167">
        <v>1</v>
      </c>
      <c r="M49" s="167">
        <v>1</v>
      </c>
      <c r="N49" s="251">
        <f t="shared" si="0"/>
        <v>2</v>
      </c>
      <c r="O49" s="116"/>
      <c r="P49" s="116"/>
      <c r="Q49" s="116"/>
      <c r="R49" s="116"/>
      <c r="S49" s="116"/>
      <c r="T49" s="116"/>
      <c r="U49" s="116"/>
      <c r="V49" s="116"/>
      <c r="W49" s="35" t="s">
        <v>22</v>
      </c>
      <c r="X49" s="116"/>
    </row>
    <row r="50" spans="2:24" x14ac:dyDescent="0.45">
      <c r="B50" s="12"/>
      <c r="C50" s="10" t="str">
        <f t="shared" si="3"/>
        <v>1.g.iv.</v>
      </c>
      <c r="D50" s="12" t="s">
        <v>72</v>
      </c>
      <c r="E50" s="167">
        <v>69</v>
      </c>
      <c r="F50" s="167">
        <v>42</v>
      </c>
      <c r="G50" s="167">
        <v>11</v>
      </c>
      <c r="H50" s="167">
        <v>11</v>
      </c>
      <c r="I50" s="256">
        <v>8</v>
      </c>
      <c r="J50" s="167">
        <v>1</v>
      </c>
      <c r="K50" s="167">
        <v>3</v>
      </c>
      <c r="L50" s="167">
        <v>0</v>
      </c>
      <c r="M50" s="167">
        <v>0</v>
      </c>
      <c r="N50" s="251">
        <f t="shared" si="0"/>
        <v>4</v>
      </c>
      <c r="O50" s="116"/>
      <c r="P50" s="116"/>
      <c r="Q50" s="116"/>
      <c r="R50" s="116"/>
      <c r="S50" s="116"/>
      <c r="T50" s="116"/>
      <c r="U50" s="116"/>
      <c r="V50" s="116"/>
      <c r="W50" s="35" t="s">
        <v>22</v>
      </c>
      <c r="X50" s="116"/>
    </row>
    <row r="51" spans="2:24" x14ac:dyDescent="0.45">
      <c r="B51" s="12"/>
      <c r="C51" s="10" t="str">
        <f t="shared" si="3"/>
        <v>1.h.iv.</v>
      </c>
      <c r="D51" s="12" t="s">
        <v>73</v>
      </c>
      <c r="E51" s="167">
        <v>1026</v>
      </c>
      <c r="F51" s="167">
        <v>334</v>
      </c>
      <c r="G51" s="167">
        <v>448</v>
      </c>
      <c r="H51" s="167">
        <v>909</v>
      </c>
      <c r="I51" s="256">
        <v>543</v>
      </c>
      <c r="J51" s="167">
        <v>322</v>
      </c>
      <c r="K51" s="167">
        <v>242</v>
      </c>
      <c r="L51" s="167">
        <v>152</v>
      </c>
      <c r="M51" s="167">
        <v>150</v>
      </c>
      <c r="N51" s="251">
        <f t="shared" si="0"/>
        <v>866</v>
      </c>
      <c r="O51" s="116"/>
      <c r="P51" s="116"/>
      <c r="Q51" s="116"/>
      <c r="R51" s="116"/>
      <c r="S51" s="116"/>
      <c r="T51" s="116"/>
      <c r="U51" s="116"/>
      <c r="V51" s="116"/>
      <c r="W51" s="35" t="s">
        <v>22</v>
      </c>
      <c r="X51" s="116"/>
    </row>
    <row r="52" spans="2:24" x14ac:dyDescent="0.45">
      <c r="B52" s="12"/>
      <c r="C52" s="10" t="str">
        <f t="shared" si="3"/>
        <v>1.i.iv.</v>
      </c>
      <c r="D52" s="12" t="s">
        <v>74</v>
      </c>
      <c r="E52" s="167">
        <v>66</v>
      </c>
      <c r="F52" s="167">
        <v>46</v>
      </c>
      <c r="G52" s="167">
        <v>17</v>
      </c>
      <c r="H52" s="167">
        <v>10</v>
      </c>
      <c r="I52" s="256">
        <v>27</v>
      </c>
      <c r="J52" s="167">
        <v>0</v>
      </c>
      <c r="K52" s="167">
        <v>2</v>
      </c>
      <c r="L52" s="167">
        <v>13</v>
      </c>
      <c r="M52" s="167">
        <v>8</v>
      </c>
      <c r="N52" s="251">
        <f t="shared" si="0"/>
        <v>23</v>
      </c>
      <c r="O52" s="116"/>
      <c r="P52" s="116"/>
      <c r="Q52" s="116"/>
      <c r="R52" s="116"/>
      <c r="S52" s="116"/>
      <c r="T52" s="116"/>
      <c r="U52" s="116"/>
      <c r="V52" s="116"/>
      <c r="W52" s="35" t="s">
        <v>22</v>
      </c>
      <c r="X52" s="116"/>
    </row>
    <row r="53" spans="2:24" x14ac:dyDescent="0.45">
      <c r="B53" s="12"/>
      <c r="C53" s="10" t="str">
        <f>C17&amp;"iv."</f>
        <v>1.j.iv.</v>
      </c>
      <c r="D53" s="12" t="s">
        <v>75</v>
      </c>
      <c r="E53" s="167">
        <v>0</v>
      </c>
      <c r="F53" s="167">
        <v>0</v>
      </c>
      <c r="G53" s="167">
        <v>0</v>
      </c>
      <c r="H53" s="167">
        <v>0</v>
      </c>
      <c r="I53" s="256">
        <v>0</v>
      </c>
      <c r="J53" s="167">
        <v>0</v>
      </c>
      <c r="K53" s="167">
        <v>0</v>
      </c>
      <c r="L53" s="167">
        <v>0</v>
      </c>
      <c r="M53" s="167">
        <v>0</v>
      </c>
      <c r="N53" s="251">
        <f t="shared" si="0"/>
        <v>0</v>
      </c>
      <c r="O53" s="116"/>
      <c r="P53" s="116"/>
      <c r="Q53" s="116"/>
      <c r="R53" s="116"/>
      <c r="S53" s="116"/>
      <c r="T53" s="116"/>
      <c r="U53" s="116"/>
      <c r="V53" s="116"/>
      <c r="W53" s="35" t="s">
        <v>22</v>
      </c>
      <c r="X53" s="116"/>
    </row>
    <row r="54" spans="2:24" x14ac:dyDescent="0.45">
      <c r="B54" s="12"/>
      <c r="C54" s="10" t="str">
        <f>C18&amp;"iv."</f>
        <v>1.k.iv.</v>
      </c>
      <c r="D54" s="12" t="s">
        <v>76</v>
      </c>
      <c r="E54" s="167">
        <v>60</v>
      </c>
      <c r="F54" s="167">
        <v>63</v>
      </c>
      <c r="G54" s="167">
        <v>66</v>
      </c>
      <c r="H54" s="167">
        <v>65</v>
      </c>
      <c r="I54" s="256">
        <v>51</v>
      </c>
      <c r="J54" s="167">
        <v>12</v>
      </c>
      <c r="K54" s="167">
        <v>9</v>
      </c>
      <c r="L54" s="167">
        <v>2</v>
      </c>
      <c r="M54" s="167">
        <v>38</v>
      </c>
      <c r="N54" s="251">
        <f t="shared" si="0"/>
        <v>61</v>
      </c>
      <c r="O54" s="116"/>
      <c r="P54" s="116"/>
      <c r="Q54" s="116"/>
      <c r="R54" s="116"/>
      <c r="S54" s="116"/>
      <c r="T54" s="116"/>
      <c r="U54" s="116"/>
      <c r="V54" s="116"/>
      <c r="W54" s="35" t="s">
        <v>22</v>
      </c>
      <c r="X54" s="116"/>
    </row>
    <row r="55" spans="2:24" x14ac:dyDescent="0.45">
      <c r="B55" s="12"/>
      <c r="C55" s="10" t="str">
        <f>C19&amp;"iv."</f>
        <v>1.l.iv.</v>
      </c>
      <c r="D55" s="12" t="s">
        <v>77</v>
      </c>
      <c r="E55" s="167">
        <v>0</v>
      </c>
      <c r="F55" s="167">
        <v>0</v>
      </c>
      <c r="G55" s="167">
        <v>18</v>
      </c>
      <c r="H55" s="167">
        <v>0</v>
      </c>
      <c r="I55" s="256">
        <v>0</v>
      </c>
      <c r="J55" s="167">
        <v>0</v>
      </c>
      <c r="K55" s="167">
        <v>0</v>
      </c>
      <c r="L55" s="167">
        <v>0</v>
      </c>
      <c r="M55" s="167">
        <v>0</v>
      </c>
      <c r="N55" s="251">
        <f t="shared" si="0"/>
        <v>0</v>
      </c>
      <c r="O55" s="116"/>
      <c r="P55" s="116"/>
      <c r="Q55" s="116"/>
      <c r="R55" s="116"/>
      <c r="S55" s="116"/>
      <c r="T55" s="116"/>
      <c r="U55" s="116"/>
      <c r="V55" s="116"/>
      <c r="W55" s="35" t="s">
        <v>22</v>
      </c>
      <c r="X55" s="116"/>
    </row>
    <row r="56" spans="2:24" ht="28.5" x14ac:dyDescent="0.45">
      <c r="B56" s="12" t="s">
        <v>78</v>
      </c>
      <c r="C56" s="10" t="s">
        <v>79</v>
      </c>
      <c r="D56" s="12" t="s">
        <v>80</v>
      </c>
      <c r="E56" s="167">
        <f>1081+825</f>
        <v>1906</v>
      </c>
      <c r="F56" s="167">
        <f>896+1228</f>
        <v>2124</v>
      </c>
      <c r="G56" s="167">
        <f>1228+1322</f>
        <v>2550</v>
      </c>
      <c r="H56" s="167">
        <f>1262+1565</f>
        <v>2827</v>
      </c>
      <c r="I56" s="256">
        <f>1034+976</f>
        <v>2010</v>
      </c>
      <c r="J56" s="167">
        <v>483</v>
      </c>
      <c r="K56" s="167">
        <v>390</v>
      </c>
      <c r="L56" s="167">
        <v>772</v>
      </c>
      <c r="M56" s="167">
        <v>661</v>
      </c>
      <c r="N56" s="251">
        <f t="shared" si="0"/>
        <v>2306</v>
      </c>
      <c r="O56" s="116"/>
      <c r="P56" s="116"/>
      <c r="Q56" s="116"/>
      <c r="R56" s="116"/>
      <c r="S56" s="116"/>
      <c r="T56" s="116"/>
      <c r="U56" s="116"/>
      <c r="V56" s="116"/>
      <c r="W56" s="12" t="s">
        <v>81</v>
      </c>
      <c r="X56" s="121" t="s">
        <v>82</v>
      </c>
    </row>
    <row r="57" spans="2:24" x14ac:dyDescent="0.45">
      <c r="B57" s="12"/>
      <c r="C57" s="10" t="s">
        <v>83</v>
      </c>
      <c r="D57" s="12" t="s">
        <v>84</v>
      </c>
      <c r="E57" s="167">
        <f>(164519+13361)-E56</f>
        <v>175974</v>
      </c>
      <c r="F57" s="167">
        <f>(164519+13361)-F56</f>
        <v>175756</v>
      </c>
      <c r="G57" s="167">
        <f>(164519+13361)-G56</f>
        <v>175330</v>
      </c>
      <c r="H57" s="167">
        <f>(164519+13361)-H56</f>
        <v>175053</v>
      </c>
      <c r="I57" s="256">
        <f>(164519+13361)-I56</f>
        <v>175870</v>
      </c>
      <c r="J57" s="167">
        <f>(164519+13361)*0.25-J56</f>
        <v>43987</v>
      </c>
      <c r="K57" s="167">
        <f>(164519+13361)*0.25-K56</f>
        <v>44080</v>
      </c>
      <c r="L57" s="167">
        <f>(164519+13361)*0.25-L56</f>
        <v>43698</v>
      </c>
      <c r="M57" s="167">
        <f>(164519+13361)*0.25-M56</f>
        <v>43809</v>
      </c>
      <c r="N57" s="251">
        <f t="shared" si="0"/>
        <v>175574</v>
      </c>
      <c r="O57" s="116"/>
      <c r="P57" s="116"/>
      <c r="Q57" s="116"/>
      <c r="R57" s="116"/>
      <c r="S57" s="116"/>
      <c r="T57" s="116"/>
      <c r="U57" s="116"/>
      <c r="V57" s="116"/>
      <c r="W57" s="12" t="s">
        <v>85</v>
      </c>
      <c r="X57" s="121" t="s">
        <v>86</v>
      </c>
    </row>
    <row r="58" spans="2:24" ht="28.5" x14ac:dyDescent="0.45">
      <c r="B58" s="12" t="s">
        <v>87</v>
      </c>
      <c r="C58" s="10" t="s">
        <v>88</v>
      </c>
      <c r="D58" s="12" t="s">
        <v>89</v>
      </c>
      <c r="E58" s="167">
        <v>825</v>
      </c>
      <c r="F58" s="167">
        <v>874</v>
      </c>
      <c r="G58" s="167">
        <v>1322</v>
      </c>
      <c r="H58" s="167">
        <v>1565</v>
      </c>
      <c r="I58" s="256">
        <v>1034</v>
      </c>
      <c r="J58" s="167">
        <v>293</v>
      </c>
      <c r="K58" s="167">
        <v>313</v>
      </c>
      <c r="L58" s="167">
        <v>478</v>
      </c>
      <c r="M58" s="167">
        <v>218</v>
      </c>
      <c r="N58" s="251">
        <f t="shared" si="0"/>
        <v>1302</v>
      </c>
      <c r="O58" s="116"/>
      <c r="P58" s="116"/>
      <c r="Q58" s="116"/>
      <c r="R58" s="116"/>
      <c r="S58" s="116"/>
      <c r="T58" s="116"/>
      <c r="U58" s="116"/>
      <c r="V58" s="116"/>
      <c r="W58" s="12" t="s">
        <v>81</v>
      </c>
      <c r="X58" s="121" t="s">
        <v>82</v>
      </c>
    </row>
    <row r="59" spans="2:24" x14ac:dyDescent="0.45">
      <c r="B59" s="12"/>
      <c r="C59" s="10" t="s">
        <v>90</v>
      </c>
      <c r="D59" s="12" t="s">
        <v>91</v>
      </c>
      <c r="E59" s="167">
        <f>(71735+6518)-E58</f>
        <v>77428</v>
      </c>
      <c r="F59" s="167">
        <f>(71735+6518)-F58</f>
        <v>77379</v>
      </c>
      <c r="G59" s="167">
        <f>(71735+6518)-G58</f>
        <v>76931</v>
      </c>
      <c r="H59" s="167">
        <f>(71735+6518)-H58</f>
        <v>76688</v>
      </c>
      <c r="I59" s="256">
        <f>(71735+6518)-I58</f>
        <v>77219</v>
      </c>
      <c r="J59" s="167">
        <f>(71735+6518)*0.25-J58</f>
        <v>19270.25</v>
      </c>
      <c r="K59" s="167">
        <f>(71735+6518)*0.25-K58</f>
        <v>19250.25</v>
      </c>
      <c r="L59" s="167">
        <f>(71735+6518)*0.25-L58</f>
        <v>19085.25</v>
      </c>
      <c r="M59" s="167">
        <f>(71735+6518)*0.25-M58</f>
        <v>19345.25</v>
      </c>
      <c r="N59" s="251">
        <f t="shared" si="0"/>
        <v>76951</v>
      </c>
      <c r="O59" s="116"/>
      <c r="P59" s="116"/>
      <c r="Q59" s="116"/>
      <c r="R59" s="116"/>
      <c r="S59" s="116"/>
      <c r="T59" s="116"/>
      <c r="U59" s="116"/>
      <c r="V59" s="116"/>
      <c r="W59" s="12" t="s">
        <v>85</v>
      </c>
      <c r="X59" s="121" t="s">
        <v>86</v>
      </c>
    </row>
    <row r="60" spans="2:24" ht="28.5" x14ac:dyDescent="0.45">
      <c r="B60" s="12" t="s">
        <v>92</v>
      </c>
      <c r="C60" s="10" t="s">
        <v>93</v>
      </c>
      <c r="D60" s="12" t="s">
        <v>94</v>
      </c>
      <c r="E60" s="167" t="s">
        <v>95</v>
      </c>
      <c r="F60" s="167" t="s">
        <v>95</v>
      </c>
      <c r="G60" s="167" t="s">
        <v>95</v>
      </c>
      <c r="H60" s="167" t="s">
        <v>95</v>
      </c>
      <c r="I60" s="256" t="s">
        <v>95</v>
      </c>
      <c r="J60" s="167" t="s">
        <v>95</v>
      </c>
      <c r="K60" s="167" t="s">
        <v>95</v>
      </c>
      <c r="L60" s="167" t="s">
        <v>95</v>
      </c>
      <c r="M60" s="167" t="s">
        <v>95</v>
      </c>
      <c r="N60" s="251">
        <f t="shared" si="0"/>
        <v>0</v>
      </c>
      <c r="O60" s="116"/>
      <c r="P60" s="116"/>
      <c r="Q60" s="116"/>
      <c r="R60" s="116"/>
      <c r="S60" s="116"/>
      <c r="T60" s="116"/>
      <c r="U60" s="116"/>
      <c r="V60" s="116"/>
      <c r="W60" s="12" t="s">
        <v>96</v>
      </c>
      <c r="X60" s="121"/>
    </row>
    <row r="61" spans="2:24" ht="28.5" x14ac:dyDescent="0.45">
      <c r="B61" s="12"/>
      <c r="C61" s="10" t="s">
        <v>97</v>
      </c>
      <c r="D61" s="12" t="s">
        <v>98</v>
      </c>
      <c r="E61" s="167" t="s">
        <v>95</v>
      </c>
      <c r="F61" s="167" t="s">
        <v>95</v>
      </c>
      <c r="G61" s="167" t="s">
        <v>95</v>
      </c>
      <c r="H61" s="167" t="s">
        <v>95</v>
      </c>
      <c r="I61" s="256" t="s">
        <v>95</v>
      </c>
      <c r="J61" s="167" t="s">
        <v>95</v>
      </c>
      <c r="K61" s="167" t="s">
        <v>95</v>
      </c>
      <c r="L61" s="167" t="s">
        <v>95</v>
      </c>
      <c r="M61" s="167" t="s">
        <v>95</v>
      </c>
      <c r="N61" s="251">
        <f t="shared" si="0"/>
        <v>0</v>
      </c>
      <c r="O61" s="116"/>
      <c r="P61" s="116"/>
      <c r="Q61" s="116"/>
      <c r="R61" s="116"/>
      <c r="S61" s="116"/>
      <c r="T61" s="116"/>
      <c r="U61" s="116"/>
      <c r="V61" s="116"/>
      <c r="W61" s="12" t="s">
        <v>99</v>
      </c>
      <c r="X61" s="121"/>
    </row>
    <row r="62" spans="2:24" x14ac:dyDescent="0.45">
      <c r="B62" s="12"/>
      <c r="C62" s="10" t="s">
        <v>100</v>
      </c>
      <c r="D62" s="12" t="s">
        <v>101</v>
      </c>
      <c r="E62" s="167" t="s">
        <v>95</v>
      </c>
      <c r="F62" s="167" t="s">
        <v>95</v>
      </c>
      <c r="G62" s="167" t="s">
        <v>95</v>
      </c>
      <c r="H62" s="167" t="s">
        <v>95</v>
      </c>
      <c r="I62" s="256" t="s">
        <v>95</v>
      </c>
      <c r="J62" s="167" t="s">
        <v>95</v>
      </c>
      <c r="K62" s="167" t="s">
        <v>95</v>
      </c>
      <c r="L62" s="167" t="s">
        <v>95</v>
      </c>
      <c r="M62" s="167" t="s">
        <v>95</v>
      </c>
      <c r="N62" s="251">
        <f t="shared" si="0"/>
        <v>0</v>
      </c>
      <c r="O62" s="116"/>
      <c r="P62" s="116"/>
      <c r="Q62" s="116"/>
      <c r="R62" s="116"/>
      <c r="S62" s="116"/>
      <c r="T62" s="116"/>
      <c r="U62" s="116"/>
      <c r="V62" s="116"/>
      <c r="W62" s="12" t="s">
        <v>102</v>
      </c>
      <c r="X62" s="116"/>
    </row>
    <row r="63" spans="2:24" x14ac:dyDescent="0.45">
      <c r="C63" s="1"/>
      <c r="D63" s="1"/>
      <c r="E63" s="1"/>
      <c r="F63" s="1"/>
      <c r="G63" s="1"/>
      <c r="H63" s="1"/>
      <c r="I63" s="257"/>
      <c r="J63" s="18"/>
      <c r="K63" s="18"/>
      <c r="L63" s="18"/>
      <c r="M63" s="18"/>
      <c r="N63" s="252"/>
      <c r="O63" s="18"/>
      <c r="P63" s="18"/>
      <c r="Q63" s="18"/>
      <c r="R63" s="18"/>
      <c r="S63" s="18"/>
      <c r="T63" s="18"/>
      <c r="U63" s="18"/>
      <c r="V63" s="18"/>
      <c r="W63" s="18"/>
      <c r="X63" s="1"/>
    </row>
  </sheetData>
  <dataValidations count="1">
    <dataValidation type="custom" operator="greaterThanOrEqual" allowBlank="1" showInputMessage="1" showErrorMessage="1" error="This cell only accepts a number of &quot;NA&quot;_x000a_" sqref="M56:M62 E55:L62 E8:M31 N8:V62" xr:uid="{1F0F1C4F-E2E0-4E77-B1CF-902622F47329}">
      <formula1>OR(AND(ISNUMBER(E8), E8&gt;=0), E8 ="NA")</formula1>
    </dataValidation>
  </dataValidations>
  <pageMargins left="0.7" right="0.7" top="0.75" bottom="0.75" header="0.3" footer="0.3"/>
  <pageSetup paperSize="5" scale="34" fitToHeight="0" orientation="landscape" r:id="rId1"/>
  <headerFooter>
    <oddFooter>&amp;L&amp;12SDGE 2021 WMP - &amp;A&amp;C&amp;P&amp;R&amp;D</oddFooter>
  </headerFooter>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F17B-6646-4E66-B5CA-51E6616481D7}">
  <sheetPr codeName="Sheet3">
    <pageSetUpPr fitToPage="1"/>
  </sheetPr>
  <dimension ref="B1:X33"/>
  <sheetViews>
    <sheetView view="pageLayout" topLeftCell="C10" zoomScale="70" zoomScaleNormal="100" zoomScaleSheetLayoutView="40" zoomScalePageLayoutView="70" workbookViewId="0">
      <selection activeCell="G36" sqref="G36"/>
    </sheetView>
  </sheetViews>
  <sheetFormatPr defaultColWidth="9.265625" defaultRowHeight="14.25" outlineLevelCol="1" x14ac:dyDescent="0.45"/>
  <cols>
    <col min="1" max="1" width="5.59765625" style="17" customWidth="1"/>
    <col min="2" max="2" width="39.265625" style="48" bestFit="1" customWidth="1"/>
    <col min="3" max="3" width="11.265625" style="17" bestFit="1" customWidth="1"/>
    <col min="4" max="4" width="97.86328125" style="17" customWidth="1"/>
    <col min="5" max="8" width="9.3984375" style="17" customWidth="1"/>
    <col min="9" max="9" width="10.265625" style="17" customWidth="1"/>
    <col min="10" max="12" width="9.265625" style="17"/>
    <col min="13" max="14" width="9.265625" style="17" customWidth="1"/>
    <col min="15" max="22" width="9.265625" style="17" customWidth="1" outlineLevel="1"/>
    <col min="23" max="23" width="56.73046875" style="48" customWidth="1"/>
    <col min="24" max="24" width="28.3984375" style="17" customWidth="1"/>
    <col min="25" max="16384" width="9.265625" style="17"/>
  </cols>
  <sheetData>
    <row r="1" spans="2:24" ht="14.65" thickBot="1" x14ac:dyDescent="0.5"/>
    <row r="2" spans="2:24" x14ac:dyDescent="0.45">
      <c r="B2" s="14" t="s">
        <v>0</v>
      </c>
      <c r="C2" s="64" t="str">
        <f>IF('Quarterly Submission Guide'!$D$20 = "", "",'Quarterly Submission Guide'!$D$20)</f>
        <v>SDG&amp;E</v>
      </c>
      <c r="D2" s="46" t="s">
        <v>1</v>
      </c>
    </row>
    <row r="3" spans="2:24" x14ac:dyDescent="0.45">
      <c r="B3" s="15" t="s">
        <v>2</v>
      </c>
      <c r="C3" s="51">
        <v>2</v>
      </c>
      <c r="D3" s="65" t="s">
        <v>3</v>
      </c>
    </row>
    <row r="4" spans="2:24" ht="14.65" thickBot="1" x14ac:dyDescent="0.5">
      <c r="B4" s="16" t="s">
        <v>4</v>
      </c>
      <c r="C4" s="66">
        <v>44232</v>
      </c>
    </row>
    <row r="5" spans="2:24" x14ac:dyDescent="0.45">
      <c r="M5" s="67"/>
      <c r="N5" s="67"/>
      <c r="O5" s="67" t="s">
        <v>5</v>
      </c>
    </row>
    <row r="6" spans="2:24" ht="18" customHeight="1" x14ac:dyDescent="0.45">
      <c r="B6" s="68" t="s">
        <v>103</v>
      </c>
      <c r="C6" s="69"/>
      <c r="D6" s="69"/>
      <c r="E6" s="69"/>
      <c r="F6" s="69"/>
      <c r="G6" s="69"/>
      <c r="H6" s="69"/>
      <c r="I6" s="69"/>
      <c r="J6" s="70">
        <v>1</v>
      </c>
      <c r="K6" s="70">
        <v>2</v>
      </c>
      <c r="L6" s="70">
        <v>3</v>
      </c>
      <c r="M6" s="70">
        <v>4</v>
      </c>
      <c r="N6" s="70" t="s">
        <v>1107</v>
      </c>
      <c r="O6" s="70">
        <v>1</v>
      </c>
      <c r="P6" s="70">
        <v>2</v>
      </c>
      <c r="Q6" s="70">
        <v>3</v>
      </c>
      <c r="R6" s="70">
        <v>4</v>
      </c>
      <c r="S6" s="70">
        <v>1</v>
      </c>
      <c r="T6" s="70">
        <v>2</v>
      </c>
      <c r="U6" s="70">
        <v>3</v>
      </c>
      <c r="V6" s="70">
        <v>4</v>
      </c>
      <c r="W6" s="71"/>
      <c r="X6" s="69"/>
    </row>
    <row r="7" spans="2:24" x14ac:dyDescent="0.45">
      <c r="B7" s="5" t="s">
        <v>7</v>
      </c>
      <c r="C7" s="6" t="s">
        <v>8</v>
      </c>
      <c r="D7" s="6" t="s">
        <v>104</v>
      </c>
      <c r="E7" s="6">
        <v>2015</v>
      </c>
      <c r="F7" s="6">
        <v>2016</v>
      </c>
      <c r="G7" s="6">
        <v>2017</v>
      </c>
      <c r="H7" s="6">
        <v>2018</v>
      </c>
      <c r="I7" s="6">
        <v>2019</v>
      </c>
      <c r="J7" s="6">
        <v>2020</v>
      </c>
      <c r="K7" s="6">
        <v>2020</v>
      </c>
      <c r="L7" s="6">
        <v>2020</v>
      </c>
      <c r="M7" s="6">
        <v>2020</v>
      </c>
      <c r="N7" s="6">
        <v>2020</v>
      </c>
      <c r="O7" s="6">
        <v>2021</v>
      </c>
      <c r="P7" s="6">
        <v>2021</v>
      </c>
      <c r="Q7" s="6">
        <v>2021</v>
      </c>
      <c r="R7" s="6">
        <v>2021</v>
      </c>
      <c r="S7" s="6">
        <v>2022</v>
      </c>
      <c r="T7" s="6">
        <v>2022</v>
      </c>
      <c r="U7" s="6">
        <v>2022</v>
      </c>
      <c r="V7" s="6">
        <v>2022</v>
      </c>
      <c r="W7" s="5" t="s">
        <v>10</v>
      </c>
      <c r="X7" s="6" t="s">
        <v>11</v>
      </c>
    </row>
    <row r="8" spans="2:24" ht="28.5" x14ac:dyDescent="0.45">
      <c r="B8" s="72" t="s">
        <v>105</v>
      </c>
      <c r="C8" s="73" t="s">
        <v>13</v>
      </c>
      <c r="D8" s="72" t="s">
        <v>106</v>
      </c>
      <c r="E8" s="124">
        <v>1116</v>
      </c>
      <c r="F8" s="124">
        <v>1385</v>
      </c>
      <c r="G8" s="124">
        <v>1252</v>
      </c>
      <c r="H8" s="124">
        <v>1151</v>
      </c>
      <c r="I8" s="259">
        <v>1212</v>
      </c>
      <c r="J8" s="125">
        <v>263</v>
      </c>
      <c r="K8" s="125">
        <v>272</v>
      </c>
      <c r="L8" s="125">
        <v>356</v>
      </c>
      <c r="M8" s="125">
        <v>259</v>
      </c>
      <c r="N8" s="258">
        <f>SUM(J8:M8)</f>
        <v>1150</v>
      </c>
      <c r="O8" s="126">
        <v>298.76299999999998</v>
      </c>
      <c r="P8" s="126">
        <v>298.76299999999998</v>
      </c>
      <c r="Q8" s="126">
        <v>298.76299999999998</v>
      </c>
      <c r="R8" s="126">
        <v>298.76299999999998</v>
      </c>
      <c r="S8" s="126">
        <v>295.45</v>
      </c>
      <c r="T8" s="126">
        <v>295.45</v>
      </c>
      <c r="U8" s="126">
        <v>295.45</v>
      </c>
      <c r="V8" s="126">
        <v>295.45</v>
      </c>
      <c r="W8" s="72" t="s">
        <v>107</v>
      </c>
      <c r="X8" s="126"/>
    </row>
    <row r="9" spans="2:24" x14ac:dyDescent="0.45">
      <c r="B9" s="74"/>
      <c r="C9" s="75" t="s">
        <v>16</v>
      </c>
      <c r="D9" s="76" t="s">
        <v>108</v>
      </c>
      <c r="E9" s="127">
        <v>73</v>
      </c>
      <c r="F9" s="127">
        <v>161</v>
      </c>
      <c r="G9" s="127">
        <v>151</v>
      </c>
      <c r="H9" s="127">
        <v>105</v>
      </c>
      <c r="I9" s="260">
        <v>125</v>
      </c>
      <c r="J9" s="129">
        <v>27</v>
      </c>
      <c r="K9" s="129">
        <v>18</v>
      </c>
      <c r="L9" s="129">
        <v>20</v>
      </c>
      <c r="M9" s="129">
        <v>23</v>
      </c>
      <c r="N9" s="258">
        <f t="shared" ref="N9:N33" si="0">SUM(J9:M9)</f>
        <v>88</v>
      </c>
      <c r="O9" s="128">
        <v>30.047999999999998</v>
      </c>
      <c r="P9" s="128">
        <v>30.047999999999998</v>
      </c>
      <c r="Q9" s="128">
        <v>30.047999999999998</v>
      </c>
      <c r="R9" s="128">
        <v>30.047999999999998</v>
      </c>
      <c r="S9" s="128">
        <v>29.649000000000001</v>
      </c>
      <c r="T9" s="128">
        <v>29.649000000000001</v>
      </c>
      <c r="U9" s="128">
        <v>29.649000000000001</v>
      </c>
      <c r="V9" s="128">
        <v>29.649000000000001</v>
      </c>
      <c r="W9" s="76" t="s">
        <v>109</v>
      </c>
      <c r="X9" s="128"/>
    </row>
    <row r="10" spans="2:24" x14ac:dyDescent="0.45">
      <c r="B10" s="74"/>
      <c r="C10" s="77" t="s">
        <v>18</v>
      </c>
      <c r="D10" s="74" t="s">
        <v>110</v>
      </c>
      <c r="E10" s="178">
        <v>1089</v>
      </c>
      <c r="F10" s="178">
        <v>1324</v>
      </c>
      <c r="G10" s="178">
        <v>1185</v>
      </c>
      <c r="H10" s="178">
        <v>1118</v>
      </c>
      <c r="I10" s="261">
        <v>1187</v>
      </c>
      <c r="J10" s="178">
        <v>252</v>
      </c>
      <c r="K10" s="178">
        <v>265</v>
      </c>
      <c r="L10" s="178">
        <v>351</v>
      </c>
      <c r="M10" s="178">
        <v>250</v>
      </c>
      <c r="N10" s="258">
        <f t="shared" si="0"/>
        <v>1118</v>
      </c>
      <c r="O10" s="128">
        <v>283.60899999999998</v>
      </c>
      <c r="P10" s="128">
        <v>283.60899999999998</v>
      </c>
      <c r="Q10" s="128">
        <v>283.60899999999998</v>
      </c>
      <c r="R10" s="128">
        <v>283.60899999999998</v>
      </c>
      <c r="S10" s="128">
        <v>280.96300000000002</v>
      </c>
      <c r="T10" s="128">
        <v>280.96300000000002</v>
      </c>
      <c r="U10" s="128">
        <v>280.96300000000002</v>
      </c>
      <c r="V10" s="128">
        <v>280.96300000000002</v>
      </c>
      <c r="W10" s="74" t="s">
        <v>111</v>
      </c>
      <c r="X10" s="128"/>
    </row>
    <row r="11" spans="2:24" x14ac:dyDescent="0.45">
      <c r="B11" s="76"/>
      <c r="C11" s="75" t="s">
        <v>20</v>
      </c>
      <c r="D11" s="76" t="s">
        <v>112</v>
      </c>
      <c r="E11" s="130">
        <v>28</v>
      </c>
      <c r="F11" s="130">
        <v>62</v>
      </c>
      <c r="G11" s="130">
        <v>67</v>
      </c>
      <c r="H11" s="130">
        <v>34</v>
      </c>
      <c r="I11" s="262">
        <v>25</v>
      </c>
      <c r="J11" s="130">
        <v>11</v>
      </c>
      <c r="K11" s="130">
        <v>7</v>
      </c>
      <c r="L11" s="130">
        <v>5</v>
      </c>
      <c r="M11" s="130">
        <v>9</v>
      </c>
      <c r="N11" s="258">
        <f t="shared" si="0"/>
        <v>32</v>
      </c>
      <c r="O11" s="131">
        <v>15.154</v>
      </c>
      <c r="P11" s="131">
        <v>15.154</v>
      </c>
      <c r="Q11" s="131">
        <v>15.154</v>
      </c>
      <c r="R11" s="131">
        <v>15.154</v>
      </c>
      <c r="S11" s="131">
        <v>14.487</v>
      </c>
      <c r="T11" s="131">
        <v>14.487</v>
      </c>
      <c r="U11" s="131">
        <v>14.487</v>
      </c>
      <c r="V11" s="131">
        <v>14.487</v>
      </c>
      <c r="W11" s="74" t="s">
        <v>111</v>
      </c>
      <c r="X11" s="131"/>
    </row>
    <row r="12" spans="2:24" x14ac:dyDescent="0.45">
      <c r="B12" s="76" t="s">
        <v>113</v>
      </c>
      <c r="C12" s="75" t="s">
        <v>114</v>
      </c>
      <c r="D12" s="76" t="s">
        <v>115</v>
      </c>
      <c r="E12" s="130">
        <v>378</v>
      </c>
      <c r="F12" s="130">
        <v>232</v>
      </c>
      <c r="G12" s="130">
        <v>165</v>
      </c>
      <c r="H12" s="130">
        <v>186</v>
      </c>
      <c r="I12" s="262">
        <v>95</v>
      </c>
      <c r="J12" s="125">
        <v>37</v>
      </c>
      <c r="K12" s="125">
        <v>43</v>
      </c>
      <c r="L12" s="125">
        <v>15</v>
      </c>
      <c r="M12" s="125">
        <v>1</v>
      </c>
      <c r="N12" s="258">
        <f t="shared" si="0"/>
        <v>96</v>
      </c>
      <c r="O12" s="131"/>
      <c r="P12" s="131"/>
      <c r="Q12" s="131"/>
      <c r="R12" s="131"/>
      <c r="S12" s="131"/>
      <c r="T12" s="131"/>
      <c r="U12" s="131"/>
      <c r="V12" s="131"/>
      <c r="W12" s="76" t="s">
        <v>22</v>
      </c>
      <c r="X12" s="131"/>
    </row>
    <row r="13" spans="2:24" x14ac:dyDescent="0.45">
      <c r="B13" s="76"/>
      <c r="C13" s="75" t="s">
        <v>116</v>
      </c>
      <c r="D13" s="76" t="s">
        <v>117</v>
      </c>
      <c r="E13" s="130">
        <v>3834</v>
      </c>
      <c r="F13" s="130">
        <v>4542</v>
      </c>
      <c r="G13" s="130">
        <v>3470</v>
      </c>
      <c r="H13" s="130">
        <v>2957</v>
      </c>
      <c r="I13" s="262">
        <v>3426</v>
      </c>
      <c r="J13" s="125">
        <v>1534</v>
      </c>
      <c r="K13" s="125">
        <v>977</v>
      </c>
      <c r="L13" s="125">
        <v>424</v>
      </c>
      <c r="M13" s="125">
        <v>118</v>
      </c>
      <c r="N13" s="258">
        <f t="shared" si="0"/>
        <v>3053</v>
      </c>
      <c r="O13" s="131"/>
      <c r="P13" s="131"/>
      <c r="Q13" s="131"/>
      <c r="R13" s="131"/>
      <c r="S13" s="131"/>
      <c r="T13" s="131"/>
      <c r="U13" s="131"/>
      <c r="V13" s="131"/>
      <c r="W13" s="76" t="s">
        <v>22</v>
      </c>
      <c r="X13" s="131"/>
    </row>
    <row r="14" spans="2:24" x14ac:dyDescent="0.45">
      <c r="B14" s="78"/>
      <c r="C14" s="75" t="s">
        <v>118</v>
      </c>
      <c r="D14" s="76" t="s">
        <v>119</v>
      </c>
      <c r="E14" s="130" t="s">
        <v>95</v>
      </c>
      <c r="F14" s="130" t="s">
        <v>95</v>
      </c>
      <c r="G14" s="130" t="s">
        <v>95</v>
      </c>
      <c r="H14" s="130" t="s">
        <v>95</v>
      </c>
      <c r="I14" s="262" t="s">
        <v>95</v>
      </c>
      <c r="J14" s="130" t="s">
        <v>95</v>
      </c>
      <c r="K14" s="130" t="s">
        <v>95</v>
      </c>
      <c r="L14" s="130" t="s">
        <v>95</v>
      </c>
      <c r="M14" s="130" t="s">
        <v>95</v>
      </c>
      <c r="N14" s="258">
        <f t="shared" si="0"/>
        <v>0</v>
      </c>
      <c r="O14" s="131"/>
      <c r="P14" s="131"/>
      <c r="Q14" s="131"/>
      <c r="R14" s="131"/>
      <c r="S14" s="131"/>
      <c r="T14" s="131"/>
      <c r="U14" s="131"/>
      <c r="V14" s="131"/>
      <c r="W14" s="76" t="s">
        <v>22</v>
      </c>
      <c r="X14" s="131"/>
    </row>
    <row r="15" spans="2:24" x14ac:dyDescent="0.45">
      <c r="B15" s="78"/>
      <c r="C15" s="75" t="s">
        <v>120</v>
      </c>
      <c r="D15" s="76" t="s">
        <v>121</v>
      </c>
      <c r="E15" s="130">
        <v>12166</v>
      </c>
      <c r="F15" s="130">
        <v>12190</v>
      </c>
      <c r="G15" s="130">
        <v>11916</v>
      </c>
      <c r="H15" s="130">
        <v>11856</v>
      </c>
      <c r="I15" s="262">
        <v>11509</v>
      </c>
      <c r="J15" s="125">
        <v>4749</v>
      </c>
      <c r="K15" s="125">
        <v>4012</v>
      </c>
      <c r="L15" s="125">
        <v>2544</v>
      </c>
      <c r="M15" s="125">
        <v>593</v>
      </c>
      <c r="N15" s="258">
        <f t="shared" si="0"/>
        <v>11898</v>
      </c>
      <c r="O15" s="131"/>
      <c r="P15" s="131"/>
      <c r="Q15" s="131"/>
      <c r="R15" s="131"/>
      <c r="S15" s="131"/>
      <c r="T15" s="131"/>
      <c r="U15" s="131"/>
      <c r="V15" s="131"/>
      <c r="W15" s="76" t="s">
        <v>15</v>
      </c>
      <c r="X15" s="131"/>
    </row>
    <row r="16" spans="2:24" x14ac:dyDescent="0.45">
      <c r="B16" s="76" t="s">
        <v>122</v>
      </c>
      <c r="C16" s="75" t="s">
        <v>83</v>
      </c>
      <c r="D16" s="76" t="s">
        <v>123</v>
      </c>
      <c r="E16" s="130">
        <v>10</v>
      </c>
      <c r="F16" s="130">
        <v>2</v>
      </c>
      <c r="G16" s="130">
        <v>4</v>
      </c>
      <c r="H16" s="130">
        <v>9</v>
      </c>
      <c r="I16" s="262">
        <v>10</v>
      </c>
      <c r="J16" s="130">
        <v>0</v>
      </c>
      <c r="K16" s="130">
        <v>0</v>
      </c>
      <c r="L16" s="130">
        <v>1</v>
      </c>
      <c r="M16" s="125">
        <v>1</v>
      </c>
      <c r="N16" s="258">
        <f t="shared" si="0"/>
        <v>2</v>
      </c>
      <c r="O16" s="131"/>
      <c r="P16" s="131"/>
      <c r="Q16" s="131"/>
      <c r="R16" s="131"/>
      <c r="S16" s="131"/>
      <c r="T16" s="131"/>
      <c r="U16" s="131"/>
      <c r="V16" s="131"/>
      <c r="W16" s="76" t="s">
        <v>22</v>
      </c>
      <c r="X16" s="131"/>
    </row>
    <row r="17" spans="2:24" x14ac:dyDescent="0.45">
      <c r="B17" s="76"/>
      <c r="C17" s="75" t="s">
        <v>90</v>
      </c>
      <c r="D17" s="76" t="s">
        <v>124</v>
      </c>
      <c r="E17" s="130">
        <v>1161</v>
      </c>
      <c r="F17" s="130">
        <v>422</v>
      </c>
      <c r="G17" s="130">
        <v>476</v>
      </c>
      <c r="H17" s="130">
        <v>930</v>
      </c>
      <c r="I17" s="262">
        <v>578</v>
      </c>
      <c r="J17" s="130">
        <v>323</v>
      </c>
      <c r="K17" s="130">
        <v>247</v>
      </c>
      <c r="L17" s="130">
        <v>165</v>
      </c>
      <c r="M17" s="125">
        <v>158</v>
      </c>
      <c r="N17" s="258">
        <f t="shared" si="0"/>
        <v>893</v>
      </c>
      <c r="O17" s="131"/>
      <c r="P17" s="131"/>
      <c r="Q17" s="131"/>
      <c r="R17" s="131"/>
      <c r="S17" s="131"/>
      <c r="T17" s="131"/>
      <c r="U17" s="131"/>
      <c r="V17" s="131"/>
      <c r="W17" s="76" t="s">
        <v>22</v>
      </c>
      <c r="X17" s="131"/>
    </row>
    <row r="18" spans="2:24" x14ac:dyDescent="0.45">
      <c r="B18" s="78"/>
      <c r="C18" s="75" t="s">
        <v>125</v>
      </c>
      <c r="D18" s="76" t="s">
        <v>126</v>
      </c>
      <c r="E18" s="130">
        <v>60</v>
      </c>
      <c r="F18" s="130">
        <v>63</v>
      </c>
      <c r="G18" s="130">
        <v>84</v>
      </c>
      <c r="H18" s="130">
        <v>65</v>
      </c>
      <c r="I18" s="262">
        <v>51</v>
      </c>
      <c r="J18" s="130">
        <v>12</v>
      </c>
      <c r="K18" s="130">
        <v>9</v>
      </c>
      <c r="L18" s="130">
        <v>2</v>
      </c>
      <c r="M18" s="125">
        <v>38</v>
      </c>
      <c r="N18" s="258">
        <f t="shared" si="0"/>
        <v>61</v>
      </c>
      <c r="O18" s="131"/>
      <c r="P18" s="131"/>
      <c r="Q18" s="131"/>
      <c r="R18" s="131"/>
      <c r="S18" s="131"/>
      <c r="T18" s="131"/>
      <c r="U18" s="131"/>
      <c r="V18" s="131"/>
      <c r="W18" s="76" t="s">
        <v>22</v>
      </c>
      <c r="X18" s="131"/>
    </row>
    <row r="19" spans="2:24" x14ac:dyDescent="0.45">
      <c r="B19" s="78"/>
      <c r="C19" s="75" t="s">
        <v>127</v>
      </c>
      <c r="D19" s="76" t="s">
        <v>128</v>
      </c>
      <c r="E19" s="130">
        <v>3989.9</v>
      </c>
      <c r="F19" s="130">
        <v>3895.8</v>
      </c>
      <c r="G19" s="130">
        <v>3935.2</v>
      </c>
      <c r="H19" s="130">
        <v>4006.8</v>
      </c>
      <c r="I19" s="262">
        <v>3972.1</v>
      </c>
      <c r="J19" s="130">
        <v>1250.5999999999999</v>
      </c>
      <c r="K19" s="130">
        <v>679.7</v>
      </c>
      <c r="L19" s="130">
        <v>1219.8</v>
      </c>
      <c r="M19" s="167">
        <v>899.9</v>
      </c>
      <c r="N19" s="258">
        <f t="shared" si="0"/>
        <v>4050</v>
      </c>
      <c r="O19" s="131"/>
      <c r="P19" s="131"/>
      <c r="Q19" s="131"/>
      <c r="R19" s="131"/>
      <c r="S19" s="131"/>
      <c r="T19" s="131"/>
      <c r="U19" s="131"/>
      <c r="V19" s="131"/>
      <c r="W19" s="76" t="s">
        <v>15</v>
      </c>
      <c r="X19" s="131"/>
    </row>
    <row r="20" spans="2:24" x14ac:dyDescent="0.45">
      <c r="B20" s="76" t="s">
        <v>129</v>
      </c>
      <c r="C20" s="75" t="s">
        <v>93</v>
      </c>
      <c r="D20" s="76" t="s">
        <v>130</v>
      </c>
      <c r="E20" s="130">
        <v>0</v>
      </c>
      <c r="F20" s="130">
        <v>0</v>
      </c>
      <c r="G20" s="130">
        <v>0</v>
      </c>
      <c r="H20" s="130">
        <v>0</v>
      </c>
      <c r="I20" s="262">
        <v>0</v>
      </c>
      <c r="J20" s="125">
        <v>0</v>
      </c>
      <c r="K20" s="125">
        <v>0</v>
      </c>
      <c r="L20" s="125">
        <v>0</v>
      </c>
      <c r="M20" s="125">
        <v>0</v>
      </c>
      <c r="N20" s="258">
        <f t="shared" si="0"/>
        <v>0</v>
      </c>
      <c r="O20" s="131"/>
      <c r="P20" s="131"/>
      <c r="Q20" s="131"/>
      <c r="R20" s="131"/>
      <c r="S20" s="131"/>
      <c r="T20" s="131"/>
      <c r="U20" s="131"/>
      <c r="V20" s="131"/>
      <c r="W20" s="76" t="s">
        <v>131</v>
      </c>
      <c r="X20" s="131"/>
    </row>
    <row r="21" spans="2:24" x14ac:dyDescent="0.45">
      <c r="B21" s="78"/>
      <c r="C21" s="75" t="s">
        <v>97</v>
      </c>
      <c r="D21" s="76" t="s">
        <v>132</v>
      </c>
      <c r="E21" s="130">
        <v>0</v>
      </c>
      <c r="F21" s="130">
        <v>0</v>
      </c>
      <c r="G21" s="130">
        <v>0</v>
      </c>
      <c r="H21" s="130">
        <v>0</v>
      </c>
      <c r="I21" s="262">
        <v>0</v>
      </c>
      <c r="J21" s="125">
        <v>0</v>
      </c>
      <c r="K21" s="125">
        <v>0</v>
      </c>
      <c r="L21" s="125">
        <v>0</v>
      </c>
      <c r="M21" s="125">
        <v>0</v>
      </c>
      <c r="N21" s="258">
        <f t="shared" si="0"/>
        <v>0</v>
      </c>
      <c r="O21" s="131"/>
      <c r="P21" s="131"/>
      <c r="Q21" s="131"/>
      <c r="R21" s="131"/>
      <c r="S21" s="131"/>
      <c r="T21" s="131"/>
      <c r="U21" s="131"/>
      <c r="V21" s="131"/>
      <c r="W21" s="76" t="s">
        <v>133</v>
      </c>
      <c r="X21" s="131"/>
    </row>
    <row r="22" spans="2:24" ht="28.5" x14ac:dyDescent="0.45">
      <c r="B22" s="76" t="s">
        <v>134</v>
      </c>
      <c r="C22" s="75" t="s">
        <v>135</v>
      </c>
      <c r="D22" s="76" t="s">
        <v>136</v>
      </c>
      <c r="E22" s="130"/>
      <c r="F22" s="130"/>
      <c r="G22" s="130"/>
      <c r="H22" s="130">
        <v>2900</v>
      </c>
      <c r="I22" s="262"/>
      <c r="J22" s="125"/>
      <c r="K22" s="125"/>
      <c r="L22" s="125"/>
      <c r="M22" s="125"/>
      <c r="N22" s="258">
        <f t="shared" si="0"/>
        <v>0</v>
      </c>
      <c r="O22" s="131"/>
      <c r="P22" s="131"/>
      <c r="Q22" s="131"/>
      <c r="R22" s="131"/>
      <c r="S22" s="131"/>
      <c r="T22" s="131"/>
      <c r="U22" s="131"/>
      <c r="V22" s="131"/>
      <c r="W22" s="76" t="s">
        <v>137</v>
      </c>
      <c r="X22" s="131"/>
    </row>
    <row r="23" spans="2:24" ht="28.5" x14ac:dyDescent="0.45">
      <c r="B23" s="76" t="s">
        <v>138</v>
      </c>
      <c r="C23" s="75" t="s">
        <v>139</v>
      </c>
      <c r="D23" s="76" t="s">
        <v>140</v>
      </c>
      <c r="E23" s="130"/>
      <c r="F23" s="130"/>
      <c r="G23" s="130"/>
      <c r="H23" s="130">
        <v>4.3729200000000003E-2</v>
      </c>
      <c r="I23" s="262"/>
      <c r="J23" s="125"/>
      <c r="K23" s="125"/>
      <c r="L23" s="125"/>
      <c r="M23" s="125"/>
      <c r="N23" s="258">
        <f t="shared" si="0"/>
        <v>0</v>
      </c>
      <c r="O23" s="131"/>
      <c r="P23" s="131"/>
      <c r="Q23" s="131"/>
      <c r="R23" s="131"/>
      <c r="S23" s="131"/>
      <c r="T23" s="131"/>
      <c r="U23" s="131"/>
      <c r="V23" s="131"/>
      <c r="W23" s="76" t="s">
        <v>141</v>
      </c>
      <c r="X23" s="131"/>
    </row>
    <row r="24" spans="2:24" x14ac:dyDescent="0.45">
      <c r="B24" s="76"/>
      <c r="C24" s="75" t="s">
        <v>142</v>
      </c>
      <c r="D24" s="76" t="s">
        <v>143</v>
      </c>
      <c r="E24" s="130"/>
      <c r="F24" s="130"/>
      <c r="G24" s="130"/>
      <c r="H24" s="130"/>
      <c r="I24" s="262"/>
      <c r="J24" s="125"/>
      <c r="K24" s="125"/>
      <c r="L24" s="125"/>
      <c r="M24" s="125"/>
      <c r="N24" s="258">
        <f t="shared" si="0"/>
        <v>0</v>
      </c>
      <c r="O24" s="131"/>
      <c r="P24" s="131"/>
      <c r="Q24" s="131"/>
      <c r="R24" s="131"/>
      <c r="S24" s="131"/>
      <c r="T24" s="131"/>
      <c r="U24" s="131"/>
      <c r="V24" s="131"/>
      <c r="W24" s="76" t="s">
        <v>144</v>
      </c>
      <c r="X24" s="131"/>
    </row>
    <row r="25" spans="2:24" x14ac:dyDescent="0.45">
      <c r="B25" s="76" t="s">
        <v>145</v>
      </c>
      <c r="C25" s="75" t="s">
        <v>146</v>
      </c>
      <c r="D25" s="76" t="s">
        <v>147</v>
      </c>
      <c r="E25" s="130"/>
      <c r="F25" s="130"/>
      <c r="G25" s="130"/>
      <c r="H25" s="130"/>
      <c r="I25" s="262"/>
      <c r="J25" s="125"/>
      <c r="K25" s="125"/>
      <c r="L25" s="125"/>
      <c r="M25" s="125"/>
      <c r="N25" s="258">
        <f t="shared" si="0"/>
        <v>0</v>
      </c>
      <c r="O25" s="131"/>
      <c r="P25" s="131"/>
      <c r="Q25" s="131"/>
      <c r="R25" s="131"/>
      <c r="S25" s="131"/>
      <c r="T25" s="131"/>
      <c r="U25" s="131"/>
      <c r="V25" s="131"/>
      <c r="W25" s="76" t="s">
        <v>148</v>
      </c>
      <c r="X25" s="131"/>
    </row>
    <row r="26" spans="2:24" x14ac:dyDescent="0.45">
      <c r="B26" s="76" t="s">
        <v>149</v>
      </c>
      <c r="C26" s="75" t="s">
        <v>150</v>
      </c>
      <c r="D26" s="76" t="s">
        <v>151</v>
      </c>
      <c r="E26" s="189">
        <v>32</v>
      </c>
      <c r="F26" s="189">
        <v>30</v>
      </c>
      <c r="G26" s="189">
        <v>23</v>
      </c>
      <c r="H26" s="189">
        <v>26</v>
      </c>
      <c r="I26" s="263">
        <v>21</v>
      </c>
      <c r="J26" s="190">
        <v>3</v>
      </c>
      <c r="K26" s="190">
        <v>5</v>
      </c>
      <c r="L26" s="190">
        <v>16</v>
      </c>
      <c r="M26" s="125">
        <v>5</v>
      </c>
      <c r="N26" s="258">
        <f t="shared" si="0"/>
        <v>29</v>
      </c>
      <c r="O26" s="131"/>
      <c r="P26" s="131"/>
      <c r="Q26" s="131"/>
      <c r="R26" s="131"/>
      <c r="S26" s="131"/>
      <c r="T26" s="131"/>
      <c r="U26" s="131"/>
      <c r="V26" s="131"/>
      <c r="W26" s="76" t="s">
        <v>107</v>
      </c>
      <c r="X26" s="131"/>
    </row>
    <row r="27" spans="2:24" x14ac:dyDescent="0.45">
      <c r="B27" s="76"/>
      <c r="C27" s="75" t="s">
        <v>152</v>
      </c>
      <c r="D27" s="76" t="s">
        <v>153</v>
      </c>
      <c r="E27" s="130">
        <f t="shared" ref="E27:M27" si="1">E29+E30</f>
        <v>19</v>
      </c>
      <c r="F27" s="130">
        <f t="shared" si="1"/>
        <v>18</v>
      </c>
      <c r="G27" s="130">
        <f t="shared" si="1"/>
        <v>15</v>
      </c>
      <c r="H27" s="130">
        <f t="shared" si="1"/>
        <v>13</v>
      </c>
      <c r="I27" s="262">
        <f t="shared" si="1"/>
        <v>12</v>
      </c>
      <c r="J27" s="130">
        <f t="shared" si="1"/>
        <v>2</v>
      </c>
      <c r="K27" s="130">
        <f t="shared" si="1"/>
        <v>4</v>
      </c>
      <c r="L27" s="130">
        <f t="shared" si="1"/>
        <v>12</v>
      </c>
      <c r="M27" s="130">
        <f t="shared" si="1"/>
        <v>5</v>
      </c>
      <c r="N27" s="258">
        <f t="shared" si="0"/>
        <v>23</v>
      </c>
      <c r="O27" s="131">
        <v>7.1139999999999999</v>
      </c>
      <c r="P27" s="131">
        <v>7.1139999999999999</v>
      </c>
      <c r="Q27" s="131">
        <v>7.1139999999999999</v>
      </c>
      <c r="R27" s="131">
        <v>7.1139999999999999</v>
      </c>
      <c r="S27" s="131">
        <v>6.9062000000000001</v>
      </c>
      <c r="T27" s="131">
        <v>6.9062000000000001</v>
      </c>
      <c r="U27" s="131">
        <v>6.9062000000000001</v>
      </c>
      <c r="V27" s="131">
        <v>6.9062000000000001</v>
      </c>
      <c r="W27" s="76" t="s">
        <v>154</v>
      </c>
      <c r="X27" s="131"/>
    </row>
    <row r="28" spans="2:24" x14ac:dyDescent="0.45">
      <c r="B28" s="76"/>
      <c r="C28" s="75" t="s">
        <v>155</v>
      </c>
      <c r="D28" s="76" t="s">
        <v>156</v>
      </c>
      <c r="E28" s="130" t="s">
        <v>95</v>
      </c>
      <c r="F28" s="130" t="s">
        <v>95</v>
      </c>
      <c r="G28" s="130" t="s">
        <v>95</v>
      </c>
      <c r="H28" s="130" t="s">
        <v>95</v>
      </c>
      <c r="I28" s="262" t="s">
        <v>95</v>
      </c>
      <c r="J28" s="130" t="s">
        <v>95</v>
      </c>
      <c r="K28" s="130" t="s">
        <v>95</v>
      </c>
      <c r="L28" s="130" t="s">
        <v>95</v>
      </c>
      <c r="M28" s="130" t="s">
        <v>95</v>
      </c>
      <c r="N28" s="258">
        <f t="shared" si="0"/>
        <v>0</v>
      </c>
      <c r="O28" s="131" t="s">
        <v>95</v>
      </c>
      <c r="P28" s="131" t="s">
        <v>95</v>
      </c>
      <c r="Q28" s="131" t="s">
        <v>95</v>
      </c>
      <c r="R28" s="131" t="s">
        <v>95</v>
      </c>
      <c r="S28" s="131" t="s">
        <v>95</v>
      </c>
      <c r="T28" s="131" t="s">
        <v>95</v>
      </c>
      <c r="U28" s="131" t="s">
        <v>95</v>
      </c>
      <c r="V28" s="131" t="s">
        <v>95</v>
      </c>
      <c r="W28" s="76" t="s">
        <v>157</v>
      </c>
      <c r="X28" s="131"/>
    </row>
    <row r="29" spans="2:24" x14ac:dyDescent="0.45">
      <c r="B29" s="76"/>
      <c r="C29" s="75" t="s">
        <v>158</v>
      </c>
      <c r="D29" s="76" t="s">
        <v>159</v>
      </c>
      <c r="E29" s="130">
        <v>13</v>
      </c>
      <c r="F29" s="130">
        <v>11</v>
      </c>
      <c r="G29" s="130">
        <v>7</v>
      </c>
      <c r="H29" s="130">
        <v>7</v>
      </c>
      <c r="I29" s="262">
        <v>9</v>
      </c>
      <c r="J29" s="125">
        <v>1</v>
      </c>
      <c r="K29" s="125">
        <v>2</v>
      </c>
      <c r="L29" s="125">
        <v>5</v>
      </c>
      <c r="M29" s="125">
        <v>3</v>
      </c>
      <c r="N29" s="258">
        <f t="shared" si="0"/>
        <v>11</v>
      </c>
      <c r="O29" s="131">
        <v>4.4256000000000002</v>
      </c>
      <c r="P29" s="131">
        <v>4.4256000000000002</v>
      </c>
      <c r="Q29" s="131">
        <v>4.4256000000000002</v>
      </c>
      <c r="R29" s="131">
        <v>4.4256000000000002</v>
      </c>
      <c r="S29" s="131">
        <v>4.3327</v>
      </c>
      <c r="T29" s="131">
        <v>4.3327</v>
      </c>
      <c r="U29" s="131">
        <v>4.3327</v>
      </c>
      <c r="V29" s="131">
        <v>4.3327</v>
      </c>
      <c r="W29" s="76" t="s">
        <v>160</v>
      </c>
      <c r="X29" s="131"/>
    </row>
    <row r="30" spans="2:24" x14ac:dyDescent="0.45">
      <c r="B30" s="76"/>
      <c r="C30" s="75" t="s">
        <v>161</v>
      </c>
      <c r="D30" s="76" t="s">
        <v>162</v>
      </c>
      <c r="E30" s="130">
        <v>6</v>
      </c>
      <c r="F30" s="130">
        <v>7</v>
      </c>
      <c r="G30" s="130">
        <v>8</v>
      </c>
      <c r="H30" s="130">
        <v>6</v>
      </c>
      <c r="I30" s="262">
        <v>3</v>
      </c>
      <c r="J30" s="125">
        <v>1</v>
      </c>
      <c r="K30" s="125">
        <v>2</v>
      </c>
      <c r="L30" s="125">
        <v>7</v>
      </c>
      <c r="M30" s="125">
        <v>2</v>
      </c>
      <c r="N30" s="258">
        <f t="shared" si="0"/>
        <v>12</v>
      </c>
      <c r="O30" s="131">
        <v>2.6884000000000001</v>
      </c>
      <c r="P30" s="131">
        <v>2.6884000000000001</v>
      </c>
      <c r="Q30" s="131">
        <v>2.6884000000000001</v>
      </c>
      <c r="R30" s="131">
        <v>2.6884000000000001</v>
      </c>
      <c r="S30" s="131">
        <v>2.5735000000000001</v>
      </c>
      <c r="T30" s="131">
        <v>2.5735000000000001</v>
      </c>
      <c r="U30" s="131">
        <v>2.5735000000000001</v>
      </c>
      <c r="V30" s="131">
        <v>2.5735000000000001</v>
      </c>
      <c r="W30" s="76" t="s">
        <v>163</v>
      </c>
      <c r="X30" s="131"/>
    </row>
    <row r="31" spans="2:24" x14ac:dyDescent="0.45">
      <c r="B31" s="76"/>
      <c r="C31" s="75" t="s">
        <v>164</v>
      </c>
      <c r="D31" s="76" t="s">
        <v>165</v>
      </c>
      <c r="E31" s="130">
        <v>13</v>
      </c>
      <c r="F31" s="130">
        <v>12</v>
      </c>
      <c r="G31" s="130">
        <v>8</v>
      </c>
      <c r="H31" s="130">
        <v>13</v>
      </c>
      <c r="I31" s="262">
        <v>9</v>
      </c>
      <c r="J31" s="125">
        <v>1</v>
      </c>
      <c r="K31" s="125">
        <v>1</v>
      </c>
      <c r="L31" s="125">
        <v>4</v>
      </c>
      <c r="M31" s="125">
        <v>0</v>
      </c>
      <c r="N31" s="258">
        <f t="shared" si="0"/>
        <v>6</v>
      </c>
      <c r="O31" s="131">
        <v>5.3481249999999996</v>
      </c>
      <c r="P31" s="131">
        <v>5.3481249999999996</v>
      </c>
      <c r="Q31" s="131">
        <v>5.3481249999999996</v>
      </c>
      <c r="R31" s="131">
        <v>5.3481249999999996</v>
      </c>
      <c r="S31" s="131">
        <v>5.3471250000000001</v>
      </c>
      <c r="T31" s="131">
        <v>5.3471250000000001</v>
      </c>
      <c r="U31" s="131">
        <v>5.3471250000000001</v>
      </c>
      <c r="V31" s="131">
        <v>5.3471250000000001</v>
      </c>
      <c r="W31" s="76" t="s">
        <v>166</v>
      </c>
      <c r="X31" s="131"/>
    </row>
    <row r="32" spans="2:24" ht="28.5" x14ac:dyDescent="0.45">
      <c r="B32" s="76" t="s">
        <v>167</v>
      </c>
      <c r="C32" s="75" t="s">
        <v>168</v>
      </c>
      <c r="D32" s="76" t="s">
        <v>169</v>
      </c>
      <c r="E32" s="130">
        <v>1</v>
      </c>
      <c r="F32" s="130">
        <v>0</v>
      </c>
      <c r="G32" s="130">
        <v>0</v>
      </c>
      <c r="H32" s="130">
        <v>0</v>
      </c>
      <c r="I32" s="262">
        <v>0</v>
      </c>
      <c r="J32" s="125">
        <v>0</v>
      </c>
      <c r="K32" s="125">
        <v>0</v>
      </c>
      <c r="L32" s="125">
        <v>0</v>
      </c>
      <c r="M32" s="125">
        <v>0</v>
      </c>
      <c r="N32" s="258">
        <f t="shared" si="0"/>
        <v>0</v>
      </c>
      <c r="O32" s="131"/>
      <c r="P32" s="131"/>
      <c r="Q32" s="131"/>
      <c r="R32" s="131"/>
      <c r="S32" s="131"/>
      <c r="T32" s="131"/>
      <c r="U32" s="131"/>
      <c r="V32" s="131"/>
      <c r="W32" s="76" t="s">
        <v>131</v>
      </c>
      <c r="X32" s="131"/>
    </row>
    <row r="33" spans="2:24" ht="28.5" x14ac:dyDescent="0.45">
      <c r="B33" s="76" t="s">
        <v>170</v>
      </c>
      <c r="C33" s="75" t="s">
        <v>171</v>
      </c>
      <c r="D33" s="76" t="s">
        <v>172</v>
      </c>
      <c r="E33" s="130">
        <v>0</v>
      </c>
      <c r="F33" s="130">
        <v>1</v>
      </c>
      <c r="G33" s="130">
        <v>0</v>
      </c>
      <c r="H33" s="130">
        <v>0</v>
      </c>
      <c r="I33" s="262">
        <v>0</v>
      </c>
      <c r="J33" s="125">
        <v>0</v>
      </c>
      <c r="K33" s="125">
        <v>0</v>
      </c>
      <c r="L33" s="125">
        <v>0</v>
      </c>
      <c r="M33" s="125">
        <v>0</v>
      </c>
      <c r="N33" s="258">
        <f t="shared" si="0"/>
        <v>0</v>
      </c>
      <c r="O33" s="131"/>
      <c r="P33" s="131"/>
      <c r="Q33" s="131"/>
      <c r="R33" s="131"/>
      <c r="S33" s="131"/>
      <c r="T33" s="131"/>
      <c r="U33" s="131"/>
      <c r="V33" s="131"/>
      <c r="W33" s="76" t="s">
        <v>173</v>
      </c>
      <c r="X33" s="131"/>
    </row>
  </sheetData>
  <dataValidations count="1">
    <dataValidation type="custom" operator="greaterThanOrEqual" allowBlank="1" showInputMessage="1" showErrorMessage="1" error="This cell only accepts a number of &quot;NA&quot;_x000a_" sqref="F15:L15 E8:M9 F12:M14 E12:E15 E11:N11 M15:M27 O8:V33 E20:L27 E28:M33 N8:N10 N12:N33" xr:uid="{1268DE2B-7551-4174-BA70-0D0C3323EE4D}">
      <formula1>OR(AND(ISNUMBER(E8), E8&gt;=0), E8 ="NA")</formula1>
    </dataValidation>
  </dataValidations>
  <pageMargins left="0.7" right="0.7" top="0.75" bottom="0.75" header="0.3" footer="0.3"/>
  <pageSetup paperSize="5" scale="40" fitToHeight="0" orientation="landscape" r:id="rId1"/>
  <headerFooter>
    <oddFooter>&amp;LSDGE 2021 WMP - &amp;A&amp;C&amp;P&amp;R&amp;D</oddFooter>
  </headerFooter>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859CB-9BAE-4311-8812-3284B81D997F}">
  <sheetPr codeName="Sheet4">
    <pageSetUpPr fitToPage="1"/>
  </sheetPr>
  <dimension ref="B2:AB60"/>
  <sheetViews>
    <sheetView view="pageLayout" topLeftCell="A5" zoomScale="70" zoomScaleNormal="50" zoomScalePageLayoutView="70" workbookViewId="0">
      <selection activeCell="B27" sqref="B27"/>
    </sheetView>
  </sheetViews>
  <sheetFormatPr defaultColWidth="9.265625" defaultRowHeight="14.25" outlineLevelCol="1" x14ac:dyDescent="0.45"/>
  <cols>
    <col min="1" max="1" width="5.59765625" style="8" customWidth="1"/>
    <col min="2" max="2" width="39.86328125" style="1" customWidth="1"/>
    <col min="3" max="3" width="6.3984375" style="1" customWidth="1"/>
    <col min="4" max="4" width="75.265625" style="1" customWidth="1"/>
    <col min="5" max="5" width="12.59765625" style="8" hidden="1" customWidth="1"/>
    <col min="6" max="6" width="10.59765625" style="8" hidden="1" customWidth="1"/>
    <col min="7" max="7" width="35.73046875" style="8" hidden="1" customWidth="1"/>
    <col min="8" max="8" width="17.3984375" style="8" hidden="1" customWidth="1"/>
    <col min="9" max="12" width="9.3984375" style="8" customWidth="1"/>
    <col min="13" max="13" width="10.265625" style="8" customWidth="1"/>
    <col min="14" max="16" width="9.265625" style="8"/>
    <col min="17" max="18" width="9.265625" style="8" customWidth="1"/>
    <col min="19" max="26" width="9.265625" style="8" customWidth="1" outlineLevel="1"/>
    <col min="27" max="27" width="12.86328125" style="1" customWidth="1"/>
    <col min="28" max="28" width="83" style="8" customWidth="1"/>
    <col min="29" max="16384" width="9.265625" style="8"/>
  </cols>
  <sheetData>
    <row r="2" spans="2:28" x14ac:dyDescent="0.45">
      <c r="B2" s="14" t="s">
        <v>0</v>
      </c>
      <c r="C2" s="139"/>
      <c r="D2" s="139"/>
      <c r="E2" s="19" t="str">
        <f>IF('Quarterly Submission Guide'!$D$20 = "", "",'Quarterly Submission Guide'!$D$20)</f>
        <v>SDG&amp;E</v>
      </c>
    </row>
    <row r="3" spans="2:28" x14ac:dyDescent="0.45">
      <c r="B3" s="15" t="s">
        <v>2</v>
      </c>
      <c r="C3" s="140"/>
      <c r="D3" s="140"/>
      <c r="E3" s="13">
        <v>3</v>
      </c>
    </row>
    <row r="4" spans="2:28" x14ac:dyDescent="0.45">
      <c r="B4" s="16" t="s">
        <v>4</v>
      </c>
      <c r="C4" s="141"/>
      <c r="D4" s="141"/>
      <c r="E4" s="30">
        <v>44232</v>
      </c>
    </row>
    <row r="5" spans="2:28" x14ac:dyDescent="0.45">
      <c r="Q5" s="62"/>
      <c r="R5" s="62"/>
      <c r="S5" s="62" t="s">
        <v>5</v>
      </c>
    </row>
    <row r="6" spans="2:28" ht="18" customHeight="1" x14ac:dyDescent="0.45">
      <c r="B6" s="3" t="s">
        <v>174</v>
      </c>
      <c r="C6" s="3"/>
      <c r="D6" s="3"/>
      <c r="E6" s="2"/>
      <c r="F6" s="2"/>
      <c r="G6" s="2"/>
      <c r="H6" s="2"/>
      <c r="I6" s="2"/>
      <c r="J6" s="2"/>
      <c r="K6" s="2"/>
      <c r="L6" s="2"/>
      <c r="M6" s="2"/>
      <c r="N6" s="4">
        <v>1</v>
      </c>
      <c r="O6" s="4">
        <v>2</v>
      </c>
      <c r="P6" s="4">
        <v>3</v>
      </c>
      <c r="Q6" s="4">
        <v>4</v>
      </c>
      <c r="R6" s="4" t="s">
        <v>1107</v>
      </c>
      <c r="S6" s="4">
        <v>1</v>
      </c>
      <c r="T6" s="4">
        <v>2</v>
      </c>
      <c r="U6" s="4">
        <v>3</v>
      </c>
      <c r="V6" s="4">
        <v>4</v>
      </c>
      <c r="W6" s="4">
        <v>1</v>
      </c>
      <c r="X6" s="4">
        <v>2</v>
      </c>
      <c r="Y6" s="4">
        <v>3</v>
      </c>
      <c r="Z6" s="4">
        <v>4</v>
      </c>
      <c r="AA6" s="7"/>
      <c r="AB6" s="2"/>
    </row>
    <row r="7" spans="2:28" s="1" customFormat="1" ht="28.5" x14ac:dyDescent="0.45">
      <c r="B7" s="5" t="s">
        <v>175</v>
      </c>
      <c r="C7" s="5" t="s">
        <v>8</v>
      </c>
      <c r="D7" s="5" t="s">
        <v>176</v>
      </c>
      <c r="E7" s="5" t="s">
        <v>177</v>
      </c>
      <c r="F7" s="5" t="s">
        <v>178</v>
      </c>
      <c r="G7" s="5" t="s">
        <v>179</v>
      </c>
      <c r="H7" s="5" t="s">
        <v>180</v>
      </c>
      <c r="I7" s="5">
        <v>2015</v>
      </c>
      <c r="J7" s="5">
        <v>2016</v>
      </c>
      <c r="K7" s="5">
        <v>2017</v>
      </c>
      <c r="L7" s="5">
        <v>2018</v>
      </c>
      <c r="M7" s="5">
        <v>2019</v>
      </c>
      <c r="N7" s="5">
        <v>2020</v>
      </c>
      <c r="O7" s="5">
        <v>2020</v>
      </c>
      <c r="P7" s="5">
        <v>2020</v>
      </c>
      <c r="Q7" s="5">
        <v>2020</v>
      </c>
      <c r="R7" s="5">
        <v>2020</v>
      </c>
      <c r="S7" s="5">
        <v>2021</v>
      </c>
      <c r="T7" s="5">
        <v>2021</v>
      </c>
      <c r="U7" s="5">
        <v>2021</v>
      </c>
      <c r="V7" s="5">
        <v>2021</v>
      </c>
      <c r="W7" s="5">
        <v>2022</v>
      </c>
      <c r="X7" s="5">
        <v>2022</v>
      </c>
      <c r="Y7" s="5">
        <v>2022</v>
      </c>
      <c r="Z7" s="5">
        <v>2022</v>
      </c>
      <c r="AA7" s="5" t="s">
        <v>10</v>
      </c>
      <c r="AB7" s="5" t="s">
        <v>11</v>
      </c>
    </row>
    <row r="8" spans="2:28" ht="28.5" x14ac:dyDescent="0.45">
      <c r="B8" s="72" t="s">
        <v>181</v>
      </c>
      <c r="C8" s="142" t="s">
        <v>13</v>
      </c>
      <c r="D8" s="73" t="s">
        <v>182</v>
      </c>
      <c r="E8" s="73"/>
      <c r="F8" s="120"/>
      <c r="G8" s="121" t="s">
        <v>183</v>
      </c>
      <c r="H8" s="73" t="s">
        <v>184</v>
      </c>
      <c r="I8" s="204">
        <v>108</v>
      </c>
      <c r="J8" s="204">
        <v>138</v>
      </c>
      <c r="K8" s="204">
        <v>169</v>
      </c>
      <c r="L8" s="204">
        <v>182</v>
      </c>
      <c r="M8" s="265">
        <v>137</v>
      </c>
      <c r="N8" s="204">
        <v>0</v>
      </c>
      <c r="O8" s="204">
        <v>13</v>
      </c>
      <c r="P8" s="204">
        <v>92</v>
      </c>
      <c r="Q8" s="205">
        <v>59</v>
      </c>
      <c r="R8" s="264">
        <f>SUM(N8:Q8)</f>
        <v>164</v>
      </c>
      <c r="S8" s="126"/>
      <c r="T8" s="115"/>
      <c r="U8" s="115"/>
      <c r="V8" s="115"/>
      <c r="W8" s="115"/>
      <c r="X8" s="115"/>
      <c r="Y8" s="115"/>
      <c r="Z8" s="115"/>
      <c r="AA8" s="120" t="s">
        <v>185</v>
      </c>
      <c r="AB8" s="115"/>
    </row>
    <row r="9" spans="2:28" ht="31.15" customHeight="1" x14ac:dyDescent="0.45">
      <c r="B9" s="76"/>
      <c r="C9" s="143" t="s">
        <v>16</v>
      </c>
      <c r="D9" s="75" t="s">
        <v>186</v>
      </c>
      <c r="E9" s="75"/>
      <c r="F9" s="121"/>
      <c r="G9" s="121" t="s">
        <v>187</v>
      </c>
      <c r="H9" s="75" t="s">
        <v>184</v>
      </c>
      <c r="I9" s="206">
        <v>4</v>
      </c>
      <c r="J9" s="206">
        <v>19</v>
      </c>
      <c r="K9" s="206">
        <v>22</v>
      </c>
      <c r="L9" s="206">
        <v>12</v>
      </c>
      <c r="M9" s="266">
        <v>10</v>
      </c>
      <c r="N9" s="207">
        <v>0</v>
      </c>
      <c r="O9" s="207">
        <v>0</v>
      </c>
      <c r="P9" s="207">
        <v>6</v>
      </c>
      <c r="Q9" s="144">
        <v>13</v>
      </c>
      <c r="R9" s="264">
        <f t="shared" ref="R9:R25" si="0">SUM(N9:Q9)</f>
        <v>19</v>
      </c>
      <c r="S9" s="131"/>
      <c r="T9" s="116"/>
      <c r="U9" s="116"/>
      <c r="V9" s="116"/>
      <c r="W9" s="116"/>
      <c r="X9" s="116"/>
      <c r="Y9" s="116"/>
      <c r="Z9" s="116"/>
      <c r="AA9" s="121" t="s">
        <v>185</v>
      </c>
      <c r="AB9" s="131" t="s">
        <v>1106</v>
      </c>
    </row>
    <row r="10" spans="2:28" x14ac:dyDescent="0.45">
      <c r="B10" s="76" t="s">
        <v>188</v>
      </c>
      <c r="C10" s="143" t="s">
        <v>114</v>
      </c>
      <c r="D10" s="75" t="s">
        <v>189</v>
      </c>
      <c r="E10" s="75"/>
      <c r="F10" s="121"/>
      <c r="G10" s="121"/>
      <c r="H10" s="75" t="s">
        <v>184</v>
      </c>
      <c r="I10" s="206">
        <v>3</v>
      </c>
      <c r="J10" s="206">
        <v>1</v>
      </c>
      <c r="K10" s="206">
        <v>2</v>
      </c>
      <c r="L10" s="206">
        <v>0</v>
      </c>
      <c r="M10" s="267">
        <v>0</v>
      </c>
      <c r="N10" s="144">
        <v>0</v>
      </c>
      <c r="O10" s="208">
        <v>0</v>
      </c>
      <c r="P10" s="144">
        <v>0</v>
      </c>
      <c r="Q10" s="208">
        <v>0</v>
      </c>
      <c r="R10" s="264">
        <f t="shared" si="0"/>
        <v>0</v>
      </c>
      <c r="S10" s="131"/>
      <c r="T10" s="116"/>
      <c r="U10" s="116"/>
      <c r="V10" s="116"/>
      <c r="W10" s="116"/>
      <c r="X10" s="116"/>
      <c r="Y10" s="116"/>
      <c r="Z10" s="116"/>
      <c r="AA10" s="121" t="s">
        <v>190</v>
      </c>
      <c r="AB10" s="116"/>
    </row>
    <row r="11" spans="2:28" x14ac:dyDescent="0.45">
      <c r="B11" s="76"/>
      <c r="C11" s="143" t="s">
        <v>116</v>
      </c>
      <c r="D11" s="75" t="s">
        <v>191</v>
      </c>
      <c r="E11" s="75"/>
      <c r="F11" s="121"/>
      <c r="G11" s="121"/>
      <c r="H11" s="75" t="s">
        <v>184</v>
      </c>
      <c r="I11" s="206">
        <v>0</v>
      </c>
      <c r="J11" s="206">
        <v>0</v>
      </c>
      <c r="K11" s="206">
        <v>1</v>
      </c>
      <c r="L11" s="206">
        <v>0</v>
      </c>
      <c r="M11" s="266">
        <v>0</v>
      </c>
      <c r="N11" s="144">
        <v>0</v>
      </c>
      <c r="O11" s="206">
        <v>0</v>
      </c>
      <c r="P11" s="144">
        <v>0</v>
      </c>
      <c r="Q11" s="206">
        <v>0</v>
      </c>
      <c r="R11" s="264">
        <f t="shared" si="0"/>
        <v>0</v>
      </c>
      <c r="S11" s="131"/>
      <c r="T11" s="116"/>
      <c r="U11" s="116"/>
      <c r="V11" s="116"/>
      <c r="W11" s="116"/>
      <c r="X11" s="116"/>
      <c r="Y11" s="116"/>
      <c r="Z11" s="116"/>
      <c r="AA11" s="121" t="s">
        <v>190</v>
      </c>
      <c r="AB11" s="116"/>
    </row>
    <row r="12" spans="2:28" x14ac:dyDescent="0.45">
      <c r="B12" s="78"/>
      <c r="C12" s="143" t="s">
        <v>118</v>
      </c>
      <c r="D12" s="75" t="s">
        <v>192</v>
      </c>
      <c r="E12" s="75"/>
      <c r="F12" s="121"/>
      <c r="G12" s="121"/>
      <c r="H12" s="75" t="s">
        <v>184</v>
      </c>
      <c r="I12" s="208">
        <v>2</v>
      </c>
      <c r="J12" s="208">
        <v>6</v>
      </c>
      <c r="K12" s="208">
        <v>4</v>
      </c>
      <c r="L12" s="208">
        <v>2</v>
      </c>
      <c r="M12" s="267">
        <v>5</v>
      </c>
      <c r="N12" s="144">
        <v>0</v>
      </c>
      <c r="O12" s="144">
        <v>0</v>
      </c>
      <c r="P12" s="144">
        <v>9</v>
      </c>
      <c r="Q12" s="144">
        <v>3</v>
      </c>
      <c r="R12" s="264">
        <f t="shared" si="0"/>
        <v>12</v>
      </c>
      <c r="S12" s="131"/>
      <c r="T12" s="116"/>
      <c r="U12" s="116"/>
      <c r="V12" s="116"/>
      <c r="W12" s="116"/>
      <c r="X12" s="116"/>
      <c r="Y12" s="116"/>
      <c r="Z12" s="116"/>
      <c r="AA12" s="121" t="s">
        <v>190</v>
      </c>
      <c r="AB12" s="116"/>
    </row>
    <row r="13" spans="2:28" x14ac:dyDescent="0.45">
      <c r="B13" s="78"/>
      <c r="C13" s="143" t="s">
        <v>120</v>
      </c>
      <c r="D13" s="75" t="s">
        <v>193</v>
      </c>
      <c r="E13" s="75"/>
      <c r="F13" s="121"/>
      <c r="G13" s="121"/>
      <c r="H13" s="75" t="s">
        <v>184</v>
      </c>
      <c r="I13" s="208">
        <v>0</v>
      </c>
      <c r="J13" s="208">
        <v>0</v>
      </c>
      <c r="K13" s="208">
        <v>2</v>
      </c>
      <c r="L13" s="208">
        <v>1</v>
      </c>
      <c r="M13" s="267">
        <v>2</v>
      </c>
      <c r="N13" s="144">
        <v>0</v>
      </c>
      <c r="O13" s="144">
        <v>0</v>
      </c>
      <c r="P13" s="144">
        <v>1</v>
      </c>
      <c r="Q13" s="144">
        <v>1</v>
      </c>
      <c r="R13" s="264">
        <f t="shared" si="0"/>
        <v>2</v>
      </c>
      <c r="S13" s="131"/>
      <c r="T13" s="116"/>
      <c r="U13" s="116"/>
      <c r="V13" s="116"/>
      <c r="W13" s="116"/>
      <c r="X13" s="116"/>
      <c r="Y13" s="116"/>
      <c r="Z13" s="116"/>
      <c r="AA13" s="121" t="s">
        <v>190</v>
      </c>
      <c r="AB13" s="116"/>
    </row>
    <row r="14" spans="2:28" x14ac:dyDescent="0.45">
      <c r="B14" s="78"/>
      <c r="C14" s="143" t="s">
        <v>194</v>
      </c>
      <c r="D14" s="75" t="s">
        <v>195</v>
      </c>
      <c r="E14" s="75"/>
      <c r="F14" s="121"/>
      <c r="G14" s="121"/>
      <c r="H14" s="75" t="s">
        <v>184</v>
      </c>
      <c r="I14" s="208">
        <v>1</v>
      </c>
      <c r="J14" s="208">
        <v>0</v>
      </c>
      <c r="K14" s="208">
        <v>3</v>
      </c>
      <c r="L14" s="208">
        <v>3</v>
      </c>
      <c r="M14" s="267">
        <v>0</v>
      </c>
      <c r="N14" s="144">
        <v>0</v>
      </c>
      <c r="O14" s="144">
        <v>0</v>
      </c>
      <c r="P14" s="144">
        <v>0</v>
      </c>
      <c r="Q14" s="144">
        <v>0</v>
      </c>
      <c r="R14" s="264">
        <f t="shared" si="0"/>
        <v>0</v>
      </c>
      <c r="S14" s="131"/>
      <c r="T14" s="116"/>
      <c r="U14" s="116"/>
      <c r="V14" s="116"/>
      <c r="W14" s="116"/>
      <c r="X14" s="116"/>
      <c r="Y14" s="116"/>
      <c r="Z14" s="116"/>
      <c r="AA14" s="121" t="s">
        <v>190</v>
      </c>
      <c r="AB14" s="116"/>
    </row>
    <row r="15" spans="2:28" x14ac:dyDescent="0.45">
      <c r="B15" s="78"/>
      <c r="C15" s="143" t="s">
        <v>196</v>
      </c>
      <c r="D15" s="75" t="s">
        <v>197</v>
      </c>
      <c r="E15" s="75"/>
      <c r="F15" s="121"/>
      <c r="G15" s="121"/>
      <c r="H15" s="75" t="s">
        <v>184</v>
      </c>
      <c r="I15" s="208">
        <v>0</v>
      </c>
      <c r="J15" s="208">
        <v>0</v>
      </c>
      <c r="K15" s="208">
        <v>0</v>
      </c>
      <c r="L15" s="208">
        <v>0</v>
      </c>
      <c r="M15" s="267">
        <v>0</v>
      </c>
      <c r="N15" s="144">
        <v>0</v>
      </c>
      <c r="O15" s="144">
        <v>0</v>
      </c>
      <c r="P15" s="144">
        <v>0</v>
      </c>
      <c r="Q15" s="144">
        <v>0</v>
      </c>
      <c r="R15" s="264">
        <f t="shared" si="0"/>
        <v>0</v>
      </c>
      <c r="S15" s="131"/>
      <c r="T15" s="116"/>
      <c r="U15" s="116"/>
      <c r="V15" s="116"/>
      <c r="W15" s="116"/>
      <c r="X15" s="116"/>
      <c r="Y15" s="116"/>
      <c r="Z15" s="116"/>
      <c r="AA15" s="121" t="s">
        <v>190</v>
      </c>
      <c r="AB15" s="116"/>
    </row>
    <row r="16" spans="2:28" x14ac:dyDescent="0.45">
      <c r="B16" s="78"/>
      <c r="C16" s="143" t="s">
        <v>198</v>
      </c>
      <c r="D16" s="75" t="s">
        <v>199</v>
      </c>
      <c r="E16" s="75"/>
      <c r="F16" s="121"/>
      <c r="G16" s="121"/>
      <c r="H16" s="75" t="s">
        <v>184</v>
      </c>
      <c r="I16" s="208">
        <v>0</v>
      </c>
      <c r="J16" s="208">
        <v>0</v>
      </c>
      <c r="K16" s="208">
        <v>1</v>
      </c>
      <c r="L16" s="208">
        <v>1</v>
      </c>
      <c r="M16" s="267">
        <v>0</v>
      </c>
      <c r="N16" s="144">
        <v>0</v>
      </c>
      <c r="O16" s="144">
        <v>0</v>
      </c>
      <c r="P16" s="144">
        <v>2</v>
      </c>
      <c r="Q16" s="144">
        <v>0</v>
      </c>
      <c r="R16" s="264">
        <f t="shared" si="0"/>
        <v>2</v>
      </c>
      <c r="S16" s="131"/>
      <c r="T16" s="116"/>
      <c r="U16" s="116"/>
      <c r="V16" s="116"/>
      <c r="W16" s="116"/>
      <c r="X16" s="116"/>
      <c r="Y16" s="116"/>
      <c r="Z16" s="116"/>
      <c r="AA16" s="121" t="s">
        <v>190</v>
      </c>
      <c r="AB16" s="116"/>
    </row>
    <row r="17" spans="2:28" x14ac:dyDescent="0.45">
      <c r="B17" s="78"/>
      <c r="C17" s="143" t="s">
        <v>200</v>
      </c>
      <c r="D17" s="75" t="s">
        <v>201</v>
      </c>
      <c r="E17" s="75"/>
      <c r="F17" s="121"/>
      <c r="G17" s="121"/>
      <c r="H17" s="75" t="s">
        <v>184</v>
      </c>
      <c r="I17" s="208">
        <v>0</v>
      </c>
      <c r="J17" s="208">
        <v>0</v>
      </c>
      <c r="K17" s="208">
        <v>0</v>
      </c>
      <c r="L17" s="208">
        <v>0</v>
      </c>
      <c r="M17" s="267">
        <v>0</v>
      </c>
      <c r="N17" s="144">
        <v>0</v>
      </c>
      <c r="O17" s="144">
        <v>0</v>
      </c>
      <c r="P17" s="144">
        <v>0</v>
      </c>
      <c r="Q17" s="144">
        <v>0</v>
      </c>
      <c r="R17" s="264">
        <f t="shared" si="0"/>
        <v>0</v>
      </c>
      <c r="S17" s="131"/>
      <c r="T17" s="116"/>
      <c r="U17" s="116"/>
      <c r="V17" s="116"/>
      <c r="W17" s="116"/>
      <c r="X17" s="116"/>
      <c r="Y17" s="116"/>
      <c r="Z17" s="116"/>
      <c r="AA17" s="121" t="s">
        <v>190</v>
      </c>
      <c r="AB17" s="116"/>
    </row>
    <row r="18" spans="2:28" ht="18.75" customHeight="1" x14ac:dyDescent="0.45">
      <c r="B18" s="76" t="s">
        <v>202</v>
      </c>
      <c r="C18" s="143" t="s">
        <v>93</v>
      </c>
      <c r="D18" s="75" t="s">
        <v>203</v>
      </c>
      <c r="E18" s="75"/>
      <c r="F18" s="121"/>
      <c r="G18" s="121"/>
      <c r="H18" s="75" t="s">
        <v>184</v>
      </c>
      <c r="I18" s="208">
        <v>3</v>
      </c>
      <c r="J18" s="208">
        <v>7</v>
      </c>
      <c r="K18" s="208">
        <v>8</v>
      </c>
      <c r="L18" s="208">
        <v>4</v>
      </c>
      <c r="M18" s="267">
        <v>9</v>
      </c>
      <c r="N18" s="144">
        <v>0</v>
      </c>
      <c r="O18" s="144">
        <v>0</v>
      </c>
      <c r="P18" s="144">
        <v>1</v>
      </c>
      <c r="Q18" s="144">
        <v>2</v>
      </c>
      <c r="R18" s="264">
        <f t="shared" si="0"/>
        <v>3</v>
      </c>
      <c r="S18" s="131"/>
      <c r="T18" s="116"/>
      <c r="U18" s="116"/>
      <c r="V18" s="116"/>
      <c r="W18" s="116"/>
      <c r="X18" s="116"/>
      <c r="Y18" s="116"/>
      <c r="Z18" s="116"/>
      <c r="AA18" s="121" t="s">
        <v>204</v>
      </c>
      <c r="AB18" s="131"/>
    </row>
    <row r="19" spans="2:28" x14ac:dyDescent="0.45">
      <c r="B19" s="76"/>
      <c r="C19" s="143" t="s">
        <v>97</v>
      </c>
      <c r="D19" s="75" t="s">
        <v>205</v>
      </c>
      <c r="E19" s="75"/>
      <c r="F19" s="121"/>
      <c r="G19" s="121"/>
      <c r="H19" s="75" t="s">
        <v>184</v>
      </c>
      <c r="I19" s="208">
        <v>0</v>
      </c>
      <c r="J19" s="208">
        <v>0</v>
      </c>
      <c r="K19" s="208">
        <v>2</v>
      </c>
      <c r="L19" s="208">
        <v>3</v>
      </c>
      <c r="M19" s="267">
        <v>0</v>
      </c>
      <c r="N19" s="144">
        <v>0</v>
      </c>
      <c r="O19" s="144">
        <v>0</v>
      </c>
      <c r="P19" s="144">
        <v>1</v>
      </c>
      <c r="Q19" s="144">
        <v>0</v>
      </c>
      <c r="R19" s="264">
        <f t="shared" si="0"/>
        <v>1</v>
      </c>
      <c r="S19" s="131"/>
      <c r="T19" s="116"/>
      <c r="U19" s="116"/>
      <c r="V19" s="116"/>
      <c r="W19" s="116"/>
      <c r="X19" s="116"/>
      <c r="Y19" s="116"/>
      <c r="Z19" s="116"/>
      <c r="AA19" s="121" t="s">
        <v>204</v>
      </c>
    </row>
    <row r="20" spans="2:28" ht="47.25" customHeight="1" x14ac:dyDescent="0.45">
      <c r="B20" s="78"/>
      <c r="C20" s="143" t="s">
        <v>100</v>
      </c>
      <c r="D20" s="75" t="s">
        <v>206</v>
      </c>
      <c r="E20" s="75"/>
      <c r="F20" s="121"/>
      <c r="G20" s="121"/>
      <c r="H20" s="75" t="s">
        <v>184</v>
      </c>
      <c r="I20" s="208">
        <v>114</v>
      </c>
      <c r="J20" s="208">
        <v>104</v>
      </c>
      <c r="K20" s="208">
        <v>134</v>
      </c>
      <c r="L20" s="208">
        <v>134</v>
      </c>
      <c r="M20" s="267">
        <v>132</v>
      </c>
      <c r="N20" s="144">
        <v>0</v>
      </c>
      <c r="O20" s="144">
        <v>7</v>
      </c>
      <c r="P20" s="144">
        <v>112</v>
      </c>
      <c r="Q20" s="144">
        <v>48</v>
      </c>
      <c r="R20" s="264">
        <f t="shared" si="0"/>
        <v>167</v>
      </c>
      <c r="S20" s="131"/>
      <c r="T20" s="116"/>
      <c r="U20" s="116"/>
      <c r="V20" s="116"/>
      <c r="W20" s="116"/>
      <c r="X20" s="116"/>
      <c r="Y20" s="116"/>
      <c r="Z20" s="116"/>
      <c r="AA20" s="121" t="s">
        <v>204</v>
      </c>
      <c r="AB20" s="121" t="s">
        <v>207</v>
      </c>
    </row>
    <row r="21" spans="2:28" x14ac:dyDescent="0.45">
      <c r="B21" s="78"/>
      <c r="C21" s="143" t="s">
        <v>208</v>
      </c>
      <c r="D21" s="75" t="s">
        <v>209</v>
      </c>
      <c r="E21" s="75"/>
      <c r="F21" s="121"/>
      <c r="G21" s="121"/>
      <c r="H21" s="75" t="s">
        <v>184</v>
      </c>
      <c r="I21" s="208">
        <v>1</v>
      </c>
      <c r="J21" s="208">
        <v>2</v>
      </c>
      <c r="K21" s="208">
        <v>22</v>
      </c>
      <c r="L21" s="208">
        <v>27</v>
      </c>
      <c r="M21" s="267">
        <v>13</v>
      </c>
      <c r="N21" s="144">
        <v>0</v>
      </c>
      <c r="O21" s="144">
        <v>0</v>
      </c>
      <c r="P21" s="144">
        <v>31</v>
      </c>
      <c r="Q21" s="144">
        <v>10</v>
      </c>
      <c r="R21" s="264">
        <f t="shared" si="0"/>
        <v>41</v>
      </c>
      <c r="S21" s="131"/>
      <c r="T21" s="116"/>
      <c r="U21" s="116"/>
      <c r="V21" s="116"/>
      <c r="W21" s="116"/>
      <c r="X21" s="116"/>
      <c r="Y21" s="116"/>
      <c r="Z21" s="116"/>
      <c r="AA21" s="121" t="s">
        <v>204</v>
      </c>
      <c r="AB21" s="116"/>
    </row>
    <row r="22" spans="2:28" x14ac:dyDescent="0.45">
      <c r="B22" s="76"/>
      <c r="C22" s="143" t="s">
        <v>210</v>
      </c>
      <c r="D22" s="75" t="s">
        <v>211</v>
      </c>
      <c r="E22" s="75"/>
      <c r="F22" s="121"/>
      <c r="G22" s="121"/>
      <c r="H22" s="75" t="s">
        <v>184</v>
      </c>
      <c r="I22" s="208">
        <v>4</v>
      </c>
      <c r="J22" s="208">
        <v>7</v>
      </c>
      <c r="K22" s="208">
        <v>10</v>
      </c>
      <c r="L22" s="208">
        <v>5</v>
      </c>
      <c r="M22" s="267">
        <v>8</v>
      </c>
      <c r="N22" s="144">
        <v>0</v>
      </c>
      <c r="O22" s="144">
        <v>0</v>
      </c>
      <c r="P22" s="144">
        <v>7</v>
      </c>
      <c r="Q22" s="144">
        <v>2</v>
      </c>
      <c r="R22" s="264">
        <f t="shared" si="0"/>
        <v>9</v>
      </c>
      <c r="S22" s="131"/>
      <c r="T22" s="116"/>
      <c r="U22" s="116"/>
      <c r="V22" s="116"/>
      <c r="W22" s="116"/>
      <c r="X22" s="116"/>
      <c r="Y22" s="116"/>
      <c r="Z22" s="116"/>
      <c r="AA22" s="121" t="s">
        <v>204</v>
      </c>
      <c r="AB22" s="116"/>
    </row>
    <row r="23" spans="2:28" x14ac:dyDescent="0.45">
      <c r="B23" s="78"/>
      <c r="C23" s="143" t="s">
        <v>212</v>
      </c>
      <c r="D23" s="75" t="s">
        <v>213</v>
      </c>
      <c r="E23" s="75"/>
      <c r="F23" s="121"/>
      <c r="G23" s="121"/>
      <c r="H23" s="75" t="s">
        <v>184</v>
      </c>
      <c r="I23" s="208">
        <v>0</v>
      </c>
      <c r="J23" s="208">
        <v>0</v>
      </c>
      <c r="K23" s="208">
        <v>0</v>
      </c>
      <c r="L23" s="208">
        <v>1</v>
      </c>
      <c r="M23" s="267">
        <v>1</v>
      </c>
      <c r="N23" s="144">
        <v>0</v>
      </c>
      <c r="O23" s="144">
        <v>0</v>
      </c>
      <c r="P23" s="144">
        <v>2</v>
      </c>
      <c r="Q23" s="144">
        <v>0</v>
      </c>
      <c r="R23" s="264">
        <f t="shared" si="0"/>
        <v>2</v>
      </c>
      <c r="S23" s="131"/>
      <c r="T23" s="116"/>
      <c r="U23" s="116"/>
      <c r="V23" s="116"/>
      <c r="W23" s="116"/>
      <c r="X23" s="116"/>
      <c r="Y23" s="116"/>
      <c r="Z23" s="116"/>
      <c r="AA23" s="121" t="s">
        <v>204</v>
      </c>
      <c r="AB23" s="116"/>
    </row>
    <row r="24" spans="2:28" x14ac:dyDescent="0.45">
      <c r="B24" s="76"/>
      <c r="C24" s="143" t="s">
        <v>214</v>
      </c>
      <c r="D24" s="75" t="s">
        <v>215</v>
      </c>
      <c r="E24" s="75"/>
      <c r="F24" s="121"/>
      <c r="G24" s="121"/>
      <c r="H24" s="75" t="s">
        <v>184</v>
      </c>
      <c r="I24" s="208">
        <v>60</v>
      </c>
      <c r="J24" s="208">
        <v>53</v>
      </c>
      <c r="K24" s="208">
        <v>61</v>
      </c>
      <c r="L24" s="208">
        <v>61</v>
      </c>
      <c r="M24" s="267">
        <v>43</v>
      </c>
      <c r="N24" s="144">
        <v>0</v>
      </c>
      <c r="O24" s="144">
        <v>3</v>
      </c>
      <c r="P24" s="144">
        <v>21</v>
      </c>
      <c r="Q24" s="144">
        <v>8</v>
      </c>
      <c r="R24" s="264">
        <f t="shared" si="0"/>
        <v>32</v>
      </c>
      <c r="S24" s="131"/>
      <c r="T24" s="116"/>
      <c r="U24" s="116"/>
      <c r="V24" s="116"/>
      <c r="W24" s="116"/>
      <c r="X24" s="116"/>
      <c r="Y24" s="116"/>
      <c r="Z24" s="116"/>
      <c r="AA24" s="121" t="s">
        <v>204</v>
      </c>
      <c r="AB24" s="116"/>
    </row>
    <row r="25" spans="2:28" x14ac:dyDescent="0.45">
      <c r="B25" s="76"/>
      <c r="C25" s="143" t="s">
        <v>216</v>
      </c>
      <c r="D25" s="75" t="s">
        <v>217</v>
      </c>
      <c r="E25" s="75"/>
      <c r="F25" s="121"/>
      <c r="G25" s="121"/>
      <c r="H25" s="75" t="s">
        <v>184</v>
      </c>
      <c r="I25" s="208">
        <v>1</v>
      </c>
      <c r="J25" s="208">
        <v>1</v>
      </c>
      <c r="K25" s="208">
        <v>9</v>
      </c>
      <c r="L25" s="208">
        <v>10</v>
      </c>
      <c r="M25" s="267">
        <v>3</v>
      </c>
      <c r="N25" s="144">
        <v>0</v>
      </c>
      <c r="O25" s="144">
        <v>0</v>
      </c>
      <c r="P25" s="144">
        <v>1</v>
      </c>
      <c r="Q25" s="144">
        <v>1</v>
      </c>
      <c r="R25" s="264">
        <f t="shared" si="0"/>
        <v>2</v>
      </c>
      <c r="S25" s="131"/>
      <c r="T25" s="116"/>
      <c r="U25" s="116"/>
      <c r="V25" s="116"/>
      <c r="W25" s="116"/>
      <c r="X25" s="116"/>
      <c r="Y25" s="116"/>
      <c r="Z25" s="116"/>
      <c r="AA25" s="121" t="s">
        <v>204</v>
      </c>
      <c r="AB25" s="116"/>
    </row>
    <row r="26" spans="2:28" x14ac:dyDescent="0.45">
      <c r="B26" s="121"/>
      <c r="C26" s="121"/>
      <c r="D26" s="121"/>
      <c r="E26" s="116"/>
      <c r="F26" s="121"/>
      <c r="G26" s="121"/>
      <c r="H26" s="121"/>
      <c r="I26" s="121"/>
      <c r="J26" s="121"/>
      <c r="K26" s="121"/>
      <c r="L26" s="121"/>
      <c r="M26" s="121"/>
      <c r="N26" s="121"/>
      <c r="O26" s="121"/>
      <c r="P26" s="121"/>
      <c r="Q26" s="121"/>
      <c r="R26" s="121"/>
      <c r="S26" s="116"/>
      <c r="T26" s="116"/>
      <c r="U26" s="116"/>
      <c r="V26" s="116"/>
      <c r="W26" s="116"/>
      <c r="X26" s="116"/>
      <c r="Y26" s="116"/>
      <c r="Z26" s="116"/>
      <c r="AA26" s="121"/>
      <c r="AB26" s="116"/>
    </row>
    <row r="27" spans="2:28" x14ac:dyDescent="0.45">
      <c r="B27" s="122"/>
      <c r="C27" s="122"/>
      <c r="D27" s="122"/>
      <c r="E27" s="123"/>
      <c r="F27" s="122"/>
      <c r="G27" s="122"/>
      <c r="H27" s="122"/>
      <c r="I27" s="122"/>
      <c r="J27" s="122"/>
      <c r="K27" s="122"/>
      <c r="L27" s="122"/>
      <c r="M27" s="122"/>
      <c r="N27" s="122"/>
      <c r="O27" s="122"/>
      <c r="P27" s="122"/>
      <c r="Q27" s="122"/>
      <c r="R27" s="122"/>
      <c r="S27" s="122"/>
      <c r="T27" s="122"/>
      <c r="U27" s="122"/>
      <c r="V27" s="122"/>
      <c r="W27" s="122"/>
      <c r="X27" s="122"/>
      <c r="Y27" s="122"/>
      <c r="Z27" s="122"/>
      <c r="AA27" s="122"/>
      <c r="AB27" s="123"/>
    </row>
    <row r="28" spans="2:28" x14ac:dyDescent="0.45">
      <c r="B28" s="118"/>
      <c r="C28" s="118"/>
      <c r="D28" s="118"/>
      <c r="E28" s="119"/>
      <c r="F28" s="119"/>
      <c r="G28" s="119"/>
      <c r="H28" s="119"/>
      <c r="I28" s="119"/>
      <c r="J28" s="119"/>
      <c r="K28" s="119"/>
      <c r="L28" s="119"/>
      <c r="M28" s="119"/>
      <c r="N28" s="119"/>
      <c r="O28" s="119"/>
      <c r="P28" s="119"/>
      <c r="Q28" s="119"/>
      <c r="R28" s="119"/>
      <c r="S28" s="119"/>
      <c r="T28" s="119"/>
      <c r="U28" s="119"/>
      <c r="V28" s="119"/>
      <c r="W28" s="119"/>
      <c r="X28" s="119"/>
      <c r="Y28" s="119"/>
      <c r="Z28" s="119"/>
      <c r="AA28" s="118"/>
      <c r="AB28" s="119"/>
    </row>
    <row r="29" spans="2:28" x14ac:dyDescent="0.45">
      <c r="B29" s="118"/>
      <c r="C29" s="118"/>
      <c r="D29" s="118"/>
      <c r="E29" s="119"/>
      <c r="F29" s="119"/>
      <c r="G29" s="119"/>
      <c r="H29" s="119"/>
      <c r="I29" s="119"/>
      <c r="J29" s="119"/>
      <c r="K29" s="119"/>
      <c r="L29" s="119"/>
      <c r="M29" s="119"/>
      <c r="N29" s="119"/>
      <c r="O29" s="119"/>
      <c r="P29" s="119"/>
      <c r="Q29" s="119"/>
      <c r="R29" s="119"/>
      <c r="S29" s="119"/>
      <c r="T29" s="119"/>
      <c r="U29" s="119"/>
      <c r="V29" s="119"/>
      <c r="W29" s="119"/>
      <c r="X29" s="119"/>
      <c r="Y29" s="119"/>
      <c r="Z29" s="119"/>
      <c r="AA29" s="118"/>
      <c r="AB29" s="119"/>
    </row>
    <row r="30" spans="2:28" x14ac:dyDescent="0.45">
      <c r="B30" s="118"/>
      <c r="C30" s="118"/>
      <c r="D30" s="118"/>
      <c r="E30" s="119"/>
      <c r="F30" s="119"/>
      <c r="G30" s="119"/>
      <c r="H30" s="119"/>
      <c r="I30" s="119"/>
      <c r="J30" s="119"/>
      <c r="K30" s="119"/>
      <c r="L30" s="119"/>
      <c r="M30" s="119"/>
      <c r="N30" s="119"/>
      <c r="O30" s="119"/>
      <c r="P30" s="119"/>
      <c r="Q30" s="119"/>
      <c r="R30" s="119"/>
      <c r="S30" s="119"/>
      <c r="T30" s="119"/>
      <c r="U30" s="119"/>
      <c r="V30" s="119"/>
      <c r="W30" s="119"/>
      <c r="X30" s="119"/>
      <c r="Y30" s="119"/>
      <c r="Z30" s="119"/>
      <c r="AA30" s="118"/>
      <c r="AB30" s="119"/>
    </row>
    <row r="31" spans="2:28" x14ac:dyDescent="0.45">
      <c r="B31" s="118"/>
      <c r="C31" s="118"/>
      <c r="D31" s="118"/>
      <c r="E31" s="119"/>
      <c r="F31" s="119"/>
      <c r="G31" s="119"/>
      <c r="H31" s="119"/>
      <c r="I31" s="119"/>
      <c r="J31" s="119"/>
      <c r="K31" s="119"/>
      <c r="L31" s="119"/>
      <c r="M31" s="119"/>
      <c r="N31" s="119"/>
      <c r="O31" s="119"/>
      <c r="P31" s="119"/>
      <c r="Q31" s="119"/>
      <c r="R31" s="119"/>
      <c r="S31" s="119"/>
      <c r="T31" s="119"/>
      <c r="U31" s="119"/>
      <c r="V31" s="119"/>
      <c r="W31" s="119"/>
      <c r="X31" s="119"/>
      <c r="Y31" s="119"/>
      <c r="Z31" s="119"/>
      <c r="AA31" s="118"/>
      <c r="AB31" s="119"/>
    </row>
    <row r="32" spans="2:28" x14ac:dyDescent="0.45">
      <c r="B32" s="118"/>
      <c r="C32" s="118"/>
      <c r="D32" s="118"/>
      <c r="E32" s="119"/>
      <c r="F32" s="119"/>
      <c r="G32" s="119"/>
      <c r="H32" s="119"/>
      <c r="I32" s="119"/>
      <c r="J32" s="119"/>
      <c r="K32" s="119"/>
      <c r="L32" s="119"/>
      <c r="M32" s="119"/>
      <c r="N32" s="119"/>
      <c r="O32" s="119"/>
      <c r="P32" s="119"/>
      <c r="Q32" s="119"/>
      <c r="R32" s="119"/>
      <c r="S32" s="119"/>
      <c r="T32" s="119"/>
      <c r="U32" s="119"/>
      <c r="V32" s="119"/>
      <c r="W32" s="119"/>
      <c r="X32" s="119"/>
      <c r="Y32" s="119"/>
      <c r="Z32" s="119"/>
      <c r="AA32" s="118"/>
      <c r="AB32" s="119"/>
    </row>
    <row r="33" spans="2:28" x14ac:dyDescent="0.45">
      <c r="B33" s="118"/>
      <c r="C33" s="118"/>
      <c r="D33" s="118"/>
      <c r="E33" s="119"/>
      <c r="F33" s="119"/>
      <c r="G33" s="119"/>
      <c r="H33" s="119"/>
      <c r="I33" s="119"/>
      <c r="J33" s="119"/>
      <c r="K33" s="119"/>
      <c r="L33" s="119"/>
      <c r="M33" s="119"/>
      <c r="N33" s="119"/>
      <c r="O33" s="119"/>
      <c r="P33" s="119"/>
      <c r="Q33" s="119"/>
      <c r="R33" s="119"/>
      <c r="S33" s="119"/>
      <c r="T33" s="119"/>
      <c r="U33" s="119"/>
      <c r="V33" s="119"/>
      <c r="W33" s="119"/>
      <c r="X33" s="119"/>
      <c r="Y33" s="119"/>
      <c r="Z33" s="119"/>
      <c r="AA33" s="118"/>
      <c r="AB33" s="119"/>
    </row>
    <row r="34" spans="2:28" x14ac:dyDescent="0.45">
      <c r="B34" s="118"/>
      <c r="C34" s="118"/>
      <c r="D34" s="118"/>
      <c r="E34" s="119"/>
      <c r="F34" s="119"/>
      <c r="G34" s="119"/>
      <c r="H34" s="119"/>
      <c r="I34" s="119"/>
      <c r="J34" s="119"/>
      <c r="K34" s="119"/>
      <c r="L34" s="119"/>
      <c r="M34" s="119"/>
      <c r="N34" s="119"/>
      <c r="O34" s="119"/>
      <c r="P34" s="119"/>
      <c r="Q34" s="119"/>
      <c r="R34" s="119"/>
      <c r="S34" s="119"/>
      <c r="T34" s="119"/>
      <c r="U34" s="119"/>
      <c r="V34" s="119"/>
      <c r="W34" s="119"/>
      <c r="X34" s="119"/>
      <c r="Y34" s="119"/>
      <c r="Z34" s="119"/>
      <c r="AA34" s="118"/>
      <c r="AB34" s="119"/>
    </row>
    <row r="35" spans="2:28" x14ac:dyDescent="0.45">
      <c r="B35" s="118"/>
      <c r="C35" s="118"/>
      <c r="D35" s="118"/>
      <c r="E35" s="119"/>
      <c r="F35" s="119"/>
      <c r="G35" s="119"/>
      <c r="H35" s="119"/>
      <c r="I35" s="119"/>
      <c r="J35" s="119"/>
      <c r="K35" s="119"/>
      <c r="L35" s="119"/>
      <c r="M35" s="119"/>
      <c r="N35" s="119"/>
      <c r="O35" s="119"/>
      <c r="P35" s="119"/>
      <c r="Q35" s="119"/>
      <c r="R35" s="119"/>
      <c r="S35" s="119"/>
      <c r="T35" s="119"/>
      <c r="U35" s="119"/>
      <c r="V35" s="119"/>
      <c r="W35" s="119"/>
      <c r="X35" s="119"/>
      <c r="Y35" s="119"/>
      <c r="Z35" s="119"/>
      <c r="AA35" s="118"/>
      <c r="AB35" s="119"/>
    </row>
    <row r="36" spans="2:28" x14ac:dyDescent="0.45">
      <c r="B36" s="118"/>
      <c r="C36" s="118"/>
      <c r="D36" s="118"/>
      <c r="E36" s="119"/>
      <c r="F36" s="119"/>
      <c r="G36" s="119"/>
      <c r="H36" s="119"/>
      <c r="I36" s="119"/>
      <c r="J36" s="119"/>
      <c r="K36" s="119"/>
      <c r="L36" s="119"/>
      <c r="M36" s="119"/>
      <c r="N36" s="119"/>
      <c r="O36" s="119"/>
      <c r="P36" s="119"/>
      <c r="Q36" s="119"/>
      <c r="R36" s="119"/>
      <c r="S36" s="119"/>
      <c r="T36" s="119"/>
      <c r="U36" s="119"/>
      <c r="V36" s="119"/>
      <c r="W36" s="119"/>
      <c r="X36" s="119"/>
      <c r="Y36" s="119"/>
      <c r="Z36" s="119"/>
      <c r="AA36" s="118"/>
      <c r="AB36" s="119"/>
    </row>
    <row r="37" spans="2:28" x14ac:dyDescent="0.45">
      <c r="B37" s="118"/>
      <c r="C37" s="118"/>
      <c r="D37" s="118"/>
      <c r="E37" s="119"/>
      <c r="F37" s="119"/>
      <c r="G37" s="119"/>
      <c r="H37" s="119"/>
      <c r="I37" s="119"/>
      <c r="J37" s="119"/>
      <c r="K37" s="119"/>
      <c r="L37" s="119"/>
      <c r="M37" s="119"/>
      <c r="N37" s="119"/>
      <c r="O37" s="119"/>
      <c r="P37" s="119"/>
      <c r="Q37" s="119"/>
      <c r="R37" s="119"/>
      <c r="S37" s="119"/>
      <c r="T37" s="119"/>
      <c r="U37" s="119"/>
      <c r="V37" s="119"/>
      <c r="W37" s="119"/>
      <c r="X37" s="119"/>
      <c r="Y37" s="119"/>
      <c r="Z37" s="119"/>
      <c r="AA37" s="118"/>
      <c r="AB37" s="119"/>
    </row>
    <row r="38" spans="2:28" x14ac:dyDescent="0.45">
      <c r="B38" s="118"/>
      <c r="C38" s="118"/>
      <c r="D38" s="118"/>
      <c r="E38" s="119"/>
      <c r="F38" s="119"/>
      <c r="G38" s="119"/>
      <c r="H38" s="119"/>
      <c r="I38" s="119"/>
      <c r="J38" s="119"/>
      <c r="K38" s="119"/>
      <c r="L38" s="119"/>
      <c r="M38" s="119"/>
      <c r="N38" s="119"/>
      <c r="O38" s="119"/>
      <c r="P38" s="119"/>
      <c r="Q38" s="119"/>
      <c r="R38" s="119"/>
      <c r="S38" s="119"/>
      <c r="T38" s="119"/>
      <c r="U38" s="119"/>
      <c r="V38" s="119"/>
      <c r="W38" s="119"/>
      <c r="X38" s="119"/>
      <c r="Y38" s="119"/>
      <c r="Z38" s="119"/>
      <c r="AA38" s="118"/>
      <c r="AB38" s="119"/>
    </row>
    <row r="39" spans="2:28" x14ac:dyDescent="0.45">
      <c r="B39" s="118"/>
      <c r="C39" s="118"/>
      <c r="D39" s="118"/>
      <c r="E39" s="119"/>
      <c r="F39" s="119"/>
      <c r="G39" s="119"/>
      <c r="H39" s="119"/>
      <c r="I39" s="119"/>
      <c r="J39" s="119"/>
      <c r="K39" s="119"/>
      <c r="L39" s="119"/>
      <c r="M39" s="119"/>
      <c r="N39" s="119"/>
      <c r="O39" s="119"/>
      <c r="P39" s="119"/>
      <c r="Q39" s="119"/>
      <c r="R39" s="119"/>
      <c r="S39" s="119"/>
      <c r="T39" s="119"/>
      <c r="U39" s="119"/>
      <c r="V39" s="119"/>
      <c r="W39" s="119"/>
      <c r="X39" s="119"/>
      <c r="Y39" s="119"/>
      <c r="Z39" s="119"/>
      <c r="AA39" s="118"/>
      <c r="AB39" s="119"/>
    </row>
    <row r="40" spans="2:28" x14ac:dyDescent="0.45">
      <c r="B40" s="118"/>
      <c r="C40" s="118"/>
      <c r="D40" s="118"/>
      <c r="E40" s="119"/>
      <c r="F40" s="119"/>
      <c r="G40" s="119"/>
      <c r="H40" s="119"/>
      <c r="I40" s="119"/>
      <c r="J40" s="119"/>
      <c r="K40" s="119"/>
      <c r="L40" s="119"/>
      <c r="M40" s="119"/>
      <c r="N40" s="119"/>
      <c r="O40" s="119"/>
      <c r="P40" s="119"/>
      <c r="Q40" s="119"/>
      <c r="R40" s="119"/>
      <c r="S40" s="119"/>
      <c r="T40" s="119"/>
      <c r="U40" s="119"/>
      <c r="V40" s="119"/>
      <c r="W40" s="119"/>
      <c r="X40" s="119"/>
      <c r="Y40" s="119"/>
      <c r="Z40" s="119"/>
      <c r="AA40" s="118"/>
      <c r="AB40" s="119"/>
    </row>
    <row r="41" spans="2:28" x14ac:dyDescent="0.45">
      <c r="B41" s="118"/>
      <c r="C41" s="118"/>
      <c r="D41" s="118"/>
      <c r="E41" s="119"/>
      <c r="F41" s="119"/>
      <c r="G41" s="119"/>
      <c r="H41" s="119"/>
      <c r="I41" s="119"/>
      <c r="J41" s="119"/>
      <c r="K41" s="119"/>
      <c r="L41" s="119"/>
      <c r="M41" s="119"/>
      <c r="N41" s="119"/>
      <c r="O41" s="119"/>
      <c r="P41" s="119"/>
      <c r="Q41" s="119"/>
      <c r="R41" s="119"/>
      <c r="S41" s="119"/>
      <c r="T41" s="119"/>
      <c r="U41" s="119"/>
      <c r="V41" s="119"/>
      <c r="W41" s="119"/>
      <c r="X41" s="119"/>
      <c r="Y41" s="119"/>
      <c r="Z41" s="119"/>
      <c r="AA41" s="118"/>
      <c r="AB41" s="119"/>
    </row>
    <row r="42" spans="2:28" x14ac:dyDescent="0.45">
      <c r="B42" s="118"/>
      <c r="C42" s="118"/>
      <c r="D42" s="118"/>
      <c r="E42" s="119"/>
      <c r="F42" s="119"/>
      <c r="G42" s="119"/>
      <c r="H42" s="119"/>
      <c r="I42" s="119"/>
      <c r="J42" s="119"/>
      <c r="K42" s="119"/>
      <c r="L42" s="119"/>
      <c r="M42" s="119"/>
      <c r="N42" s="119"/>
      <c r="O42" s="119"/>
      <c r="P42" s="119"/>
      <c r="Q42" s="119"/>
      <c r="R42" s="119"/>
      <c r="S42" s="119"/>
      <c r="T42" s="119"/>
      <c r="U42" s="119"/>
      <c r="V42" s="119"/>
      <c r="W42" s="119"/>
      <c r="X42" s="119"/>
      <c r="Y42" s="119"/>
      <c r="Z42" s="119"/>
      <c r="AA42" s="118"/>
      <c r="AB42" s="119"/>
    </row>
    <row r="43" spans="2:28" x14ac:dyDescent="0.45">
      <c r="B43" s="118"/>
      <c r="C43" s="118"/>
      <c r="D43" s="118"/>
      <c r="E43" s="119"/>
      <c r="F43" s="119"/>
      <c r="G43" s="119"/>
      <c r="H43" s="119"/>
      <c r="I43" s="119"/>
      <c r="J43" s="119"/>
      <c r="K43" s="119"/>
      <c r="L43" s="119"/>
      <c r="M43" s="119"/>
      <c r="N43" s="119"/>
      <c r="O43" s="119"/>
      <c r="P43" s="119"/>
      <c r="Q43" s="119"/>
      <c r="R43" s="119"/>
      <c r="S43" s="119"/>
      <c r="T43" s="119"/>
      <c r="U43" s="119"/>
      <c r="V43" s="119"/>
      <c r="W43" s="119"/>
      <c r="X43" s="119"/>
      <c r="Y43" s="119"/>
      <c r="Z43" s="119"/>
      <c r="AA43" s="118"/>
      <c r="AB43" s="119"/>
    </row>
    <row r="44" spans="2:28" x14ac:dyDescent="0.45">
      <c r="B44" s="118"/>
      <c r="C44" s="118"/>
      <c r="D44" s="118"/>
      <c r="E44" s="119"/>
      <c r="F44" s="119"/>
      <c r="G44" s="119"/>
      <c r="H44" s="119"/>
      <c r="I44" s="119"/>
      <c r="J44" s="119"/>
      <c r="K44" s="119"/>
      <c r="L44" s="119"/>
      <c r="M44" s="119"/>
      <c r="N44" s="119"/>
      <c r="O44" s="119"/>
      <c r="P44" s="119"/>
      <c r="Q44" s="119"/>
      <c r="R44" s="119"/>
      <c r="S44" s="119"/>
      <c r="T44" s="119"/>
      <c r="U44" s="119"/>
      <c r="V44" s="119"/>
      <c r="W44" s="119"/>
      <c r="X44" s="119"/>
      <c r="Y44" s="119"/>
      <c r="Z44" s="119"/>
      <c r="AA44" s="118"/>
      <c r="AB44" s="119"/>
    </row>
    <row r="45" spans="2:28" x14ac:dyDescent="0.45">
      <c r="B45" s="118"/>
      <c r="C45" s="118"/>
      <c r="D45" s="118"/>
      <c r="E45" s="119"/>
      <c r="F45" s="119"/>
      <c r="G45" s="119"/>
      <c r="H45" s="119"/>
      <c r="I45" s="119"/>
      <c r="J45" s="119"/>
      <c r="K45" s="119"/>
      <c r="L45" s="119"/>
      <c r="M45" s="119"/>
      <c r="N45" s="119"/>
      <c r="O45" s="119"/>
      <c r="P45" s="119"/>
      <c r="Q45" s="119"/>
      <c r="R45" s="119"/>
      <c r="S45" s="119"/>
      <c r="T45" s="119"/>
      <c r="U45" s="119"/>
      <c r="V45" s="119"/>
      <c r="W45" s="119"/>
      <c r="X45" s="119"/>
      <c r="Y45" s="119"/>
      <c r="Z45" s="119"/>
      <c r="AA45" s="118"/>
      <c r="AB45" s="119"/>
    </row>
    <row r="46" spans="2:28" x14ac:dyDescent="0.45">
      <c r="B46" s="118"/>
      <c r="C46" s="118"/>
      <c r="D46" s="118"/>
      <c r="E46" s="119"/>
      <c r="F46" s="119"/>
      <c r="G46" s="119"/>
      <c r="H46" s="119"/>
      <c r="I46" s="119"/>
      <c r="J46" s="119"/>
      <c r="K46" s="119"/>
      <c r="L46" s="119"/>
      <c r="M46" s="119"/>
      <c r="N46" s="119"/>
      <c r="O46" s="119"/>
      <c r="P46" s="119"/>
      <c r="Q46" s="119"/>
      <c r="R46" s="119"/>
      <c r="S46" s="119"/>
      <c r="T46" s="119"/>
      <c r="U46" s="119"/>
      <c r="V46" s="119"/>
      <c r="W46" s="119"/>
      <c r="X46" s="119"/>
      <c r="Y46" s="119"/>
      <c r="Z46" s="119"/>
      <c r="AA46" s="118"/>
      <c r="AB46" s="119"/>
    </row>
    <row r="47" spans="2:28" x14ac:dyDescent="0.45">
      <c r="B47" s="118"/>
      <c r="C47" s="118"/>
      <c r="D47" s="118"/>
      <c r="E47" s="119"/>
      <c r="F47" s="119"/>
      <c r="G47" s="119"/>
      <c r="H47" s="119"/>
      <c r="I47" s="119"/>
      <c r="J47" s="119"/>
      <c r="K47" s="119"/>
      <c r="L47" s="119"/>
      <c r="M47" s="119"/>
      <c r="N47" s="119"/>
      <c r="O47" s="119"/>
      <c r="P47" s="119"/>
      <c r="Q47" s="119"/>
      <c r="R47" s="119"/>
      <c r="S47" s="119"/>
      <c r="T47" s="119"/>
      <c r="U47" s="119"/>
      <c r="V47" s="119"/>
      <c r="W47" s="119"/>
      <c r="X47" s="119"/>
      <c r="Y47" s="119"/>
      <c r="Z47" s="119"/>
      <c r="AA47" s="118"/>
      <c r="AB47" s="119"/>
    </row>
    <row r="48" spans="2:28" x14ac:dyDescent="0.45">
      <c r="B48" s="118"/>
      <c r="C48" s="118"/>
      <c r="D48" s="118"/>
      <c r="E48" s="119"/>
      <c r="F48" s="119"/>
      <c r="G48" s="119"/>
      <c r="H48" s="119"/>
      <c r="I48" s="119"/>
      <c r="J48" s="119"/>
      <c r="K48" s="119"/>
      <c r="L48" s="119"/>
      <c r="M48" s="119"/>
      <c r="N48" s="119"/>
      <c r="O48" s="119"/>
      <c r="P48" s="119"/>
      <c r="Q48" s="119"/>
      <c r="R48" s="119"/>
      <c r="S48" s="119"/>
      <c r="T48" s="119"/>
      <c r="U48" s="119"/>
      <c r="V48" s="119"/>
      <c r="W48" s="119"/>
      <c r="X48" s="119"/>
      <c r="Y48" s="119"/>
      <c r="Z48" s="119"/>
      <c r="AA48" s="118"/>
      <c r="AB48" s="119"/>
    </row>
    <row r="49" spans="2:28" x14ac:dyDescent="0.45">
      <c r="B49" s="118"/>
      <c r="C49" s="118"/>
      <c r="D49" s="118"/>
      <c r="E49" s="119"/>
      <c r="F49" s="119"/>
      <c r="G49" s="119"/>
      <c r="H49" s="119"/>
      <c r="I49" s="119"/>
      <c r="J49" s="119"/>
      <c r="K49" s="119"/>
      <c r="L49" s="119"/>
      <c r="M49" s="119"/>
      <c r="N49" s="119"/>
      <c r="O49" s="119"/>
      <c r="P49" s="119"/>
      <c r="Q49" s="119"/>
      <c r="R49" s="119"/>
      <c r="S49" s="119"/>
      <c r="T49" s="119"/>
      <c r="U49" s="119"/>
      <c r="V49" s="119"/>
      <c r="W49" s="119"/>
      <c r="X49" s="119"/>
      <c r="Y49" s="119"/>
      <c r="Z49" s="119"/>
      <c r="AA49" s="118"/>
      <c r="AB49" s="119"/>
    </row>
    <row r="50" spans="2:28" x14ac:dyDescent="0.45">
      <c r="B50" s="118"/>
      <c r="C50" s="118"/>
      <c r="D50" s="118"/>
      <c r="E50" s="119"/>
      <c r="F50" s="119"/>
      <c r="G50" s="119"/>
      <c r="H50" s="119"/>
      <c r="I50" s="119"/>
      <c r="J50" s="119"/>
      <c r="K50" s="119"/>
      <c r="L50" s="119"/>
      <c r="M50" s="119"/>
      <c r="N50" s="119"/>
      <c r="O50" s="119"/>
      <c r="P50" s="119"/>
      <c r="Q50" s="119"/>
      <c r="R50" s="119"/>
      <c r="S50" s="119"/>
      <c r="T50" s="119"/>
      <c r="U50" s="119"/>
      <c r="V50" s="119"/>
      <c r="W50" s="119"/>
      <c r="X50" s="119"/>
      <c r="Y50" s="119"/>
      <c r="Z50" s="119"/>
      <c r="AA50" s="118"/>
      <c r="AB50" s="119"/>
    </row>
    <row r="51" spans="2:28" x14ac:dyDescent="0.45">
      <c r="B51" s="118"/>
      <c r="C51" s="118"/>
      <c r="D51" s="118"/>
      <c r="E51" s="119"/>
      <c r="F51" s="119"/>
      <c r="G51" s="119"/>
      <c r="H51" s="119"/>
      <c r="I51" s="119"/>
      <c r="J51" s="119"/>
      <c r="K51" s="119"/>
      <c r="L51" s="119"/>
      <c r="M51" s="119"/>
      <c r="N51" s="119"/>
      <c r="O51" s="119"/>
      <c r="P51" s="119"/>
      <c r="Q51" s="119"/>
      <c r="R51" s="119"/>
      <c r="S51" s="119"/>
      <c r="T51" s="119"/>
      <c r="U51" s="119"/>
      <c r="V51" s="119"/>
      <c r="W51" s="119"/>
      <c r="X51" s="119"/>
      <c r="Y51" s="119"/>
      <c r="Z51" s="119"/>
      <c r="AA51" s="118"/>
      <c r="AB51" s="119"/>
    </row>
    <row r="52" spans="2:28" x14ac:dyDescent="0.45">
      <c r="B52" s="118"/>
      <c r="C52" s="118"/>
      <c r="D52" s="118"/>
      <c r="E52" s="119"/>
      <c r="F52" s="119"/>
      <c r="G52" s="119"/>
      <c r="H52" s="119"/>
      <c r="I52" s="119"/>
      <c r="J52" s="119"/>
      <c r="K52" s="119"/>
      <c r="L52" s="119"/>
      <c r="M52" s="119"/>
      <c r="N52" s="119"/>
      <c r="O52" s="119"/>
      <c r="P52" s="119"/>
      <c r="Q52" s="119"/>
      <c r="R52" s="119"/>
      <c r="S52" s="119"/>
      <c r="T52" s="119"/>
      <c r="U52" s="119"/>
      <c r="V52" s="119"/>
      <c r="W52" s="119"/>
      <c r="X52" s="119"/>
      <c r="Y52" s="119"/>
      <c r="Z52" s="119"/>
      <c r="AA52" s="118"/>
      <c r="AB52" s="119"/>
    </row>
    <row r="53" spans="2:28" x14ac:dyDescent="0.45">
      <c r="B53" s="118"/>
      <c r="C53" s="118"/>
      <c r="D53" s="118"/>
      <c r="E53" s="119"/>
      <c r="F53" s="119"/>
      <c r="G53" s="119"/>
      <c r="H53" s="119"/>
      <c r="I53" s="119"/>
      <c r="J53" s="119"/>
      <c r="K53" s="119"/>
      <c r="L53" s="119"/>
      <c r="M53" s="119"/>
      <c r="N53" s="119"/>
      <c r="O53" s="119"/>
      <c r="P53" s="119"/>
      <c r="Q53" s="119"/>
      <c r="R53" s="119"/>
      <c r="S53" s="119"/>
      <c r="T53" s="119"/>
      <c r="U53" s="119"/>
      <c r="V53" s="119"/>
      <c r="W53" s="119"/>
      <c r="X53" s="119"/>
      <c r="Y53" s="119"/>
      <c r="Z53" s="119"/>
      <c r="AA53" s="118"/>
      <c r="AB53" s="119"/>
    </row>
    <row r="54" spans="2:28" x14ac:dyDescent="0.45">
      <c r="B54" s="118"/>
      <c r="C54" s="118"/>
      <c r="D54" s="118"/>
      <c r="E54" s="119"/>
      <c r="F54" s="119"/>
      <c r="G54" s="119"/>
      <c r="H54" s="119"/>
      <c r="I54" s="119"/>
      <c r="J54" s="119"/>
      <c r="K54" s="119"/>
      <c r="L54" s="119"/>
      <c r="M54" s="119"/>
      <c r="N54" s="119"/>
      <c r="O54" s="119"/>
      <c r="P54" s="119"/>
      <c r="Q54" s="119"/>
      <c r="R54" s="119"/>
      <c r="S54" s="119"/>
      <c r="T54" s="119"/>
      <c r="U54" s="119"/>
      <c r="V54" s="119"/>
      <c r="W54" s="119"/>
      <c r="X54" s="119"/>
      <c r="Y54" s="119"/>
      <c r="Z54" s="119"/>
      <c r="AA54" s="118"/>
      <c r="AB54" s="119"/>
    </row>
    <row r="55" spans="2:28" x14ac:dyDescent="0.45">
      <c r="B55" s="118"/>
      <c r="C55" s="118"/>
      <c r="D55" s="118"/>
      <c r="E55" s="119"/>
      <c r="F55" s="119"/>
      <c r="G55" s="119"/>
      <c r="H55" s="119"/>
      <c r="I55" s="119"/>
      <c r="J55" s="119"/>
      <c r="K55" s="119"/>
      <c r="L55" s="119"/>
      <c r="M55" s="119"/>
      <c r="N55" s="119"/>
      <c r="O55" s="119"/>
      <c r="P55" s="119"/>
      <c r="Q55" s="119"/>
      <c r="R55" s="119"/>
      <c r="S55" s="119"/>
      <c r="T55" s="119"/>
      <c r="U55" s="119"/>
      <c r="V55" s="119"/>
      <c r="W55" s="119"/>
      <c r="X55" s="119"/>
      <c r="Y55" s="119"/>
      <c r="Z55" s="119"/>
      <c r="AA55" s="118"/>
      <c r="AB55" s="119"/>
    </row>
    <row r="56" spans="2:28" x14ac:dyDescent="0.45">
      <c r="B56" s="118"/>
      <c r="C56" s="118"/>
      <c r="D56" s="118"/>
      <c r="E56" s="119"/>
      <c r="F56" s="119"/>
      <c r="G56" s="119"/>
      <c r="H56" s="119"/>
      <c r="I56" s="119"/>
      <c r="J56" s="119"/>
      <c r="K56" s="119"/>
      <c r="L56" s="119"/>
      <c r="M56" s="119"/>
      <c r="N56" s="119"/>
      <c r="O56" s="119"/>
      <c r="P56" s="119"/>
      <c r="Q56" s="119"/>
      <c r="R56" s="119"/>
      <c r="S56" s="119"/>
      <c r="T56" s="119"/>
      <c r="U56" s="119"/>
      <c r="V56" s="119"/>
      <c r="W56" s="119"/>
      <c r="X56" s="119"/>
      <c r="Y56" s="119"/>
      <c r="Z56" s="119"/>
      <c r="AA56" s="118"/>
      <c r="AB56" s="119"/>
    </row>
    <row r="57" spans="2:28" x14ac:dyDescent="0.45">
      <c r="B57" s="118"/>
      <c r="C57" s="118"/>
      <c r="D57" s="118"/>
      <c r="E57" s="119"/>
      <c r="F57" s="119"/>
      <c r="G57" s="119"/>
      <c r="H57" s="119"/>
      <c r="I57" s="119"/>
      <c r="J57" s="119"/>
      <c r="K57" s="119"/>
      <c r="L57" s="119"/>
      <c r="M57" s="119"/>
      <c r="N57" s="119"/>
      <c r="O57" s="119"/>
      <c r="P57" s="119"/>
      <c r="Q57" s="119"/>
      <c r="R57" s="119"/>
      <c r="S57" s="119"/>
      <c r="T57" s="119"/>
      <c r="U57" s="119"/>
      <c r="V57" s="119"/>
      <c r="W57" s="119"/>
      <c r="X57" s="119"/>
      <c r="Y57" s="119"/>
      <c r="Z57" s="119"/>
      <c r="AA57" s="118"/>
      <c r="AB57" s="119"/>
    </row>
    <row r="58" spans="2:28" x14ac:dyDescent="0.45">
      <c r="B58" s="118"/>
      <c r="C58" s="118"/>
      <c r="D58" s="118"/>
      <c r="E58" s="119"/>
      <c r="F58" s="119"/>
      <c r="G58" s="119"/>
      <c r="H58" s="119"/>
      <c r="I58" s="119"/>
      <c r="J58" s="119"/>
      <c r="K58" s="119"/>
      <c r="L58" s="119"/>
      <c r="M58" s="119"/>
      <c r="N58" s="119"/>
      <c r="O58" s="119"/>
      <c r="P58" s="119"/>
      <c r="Q58" s="119"/>
      <c r="R58" s="119"/>
      <c r="S58" s="119"/>
      <c r="T58" s="119"/>
      <c r="U58" s="119"/>
      <c r="V58" s="119"/>
      <c r="W58" s="119"/>
      <c r="X58" s="119"/>
      <c r="Y58" s="119"/>
      <c r="Z58" s="119"/>
      <c r="AA58" s="118"/>
      <c r="AB58" s="119"/>
    </row>
    <row r="59" spans="2:28" x14ac:dyDescent="0.45">
      <c r="B59" s="118"/>
      <c r="C59" s="118"/>
      <c r="D59" s="118"/>
      <c r="E59" s="119"/>
      <c r="F59" s="119"/>
      <c r="G59" s="119"/>
      <c r="H59" s="119"/>
      <c r="I59" s="119"/>
      <c r="J59" s="119"/>
      <c r="K59" s="119"/>
      <c r="L59" s="119"/>
      <c r="M59" s="119"/>
      <c r="N59" s="119"/>
      <c r="O59" s="119"/>
      <c r="P59" s="119"/>
      <c r="Q59" s="119"/>
      <c r="R59" s="119"/>
      <c r="S59" s="119"/>
      <c r="T59" s="119"/>
      <c r="U59" s="119"/>
      <c r="V59" s="119"/>
      <c r="W59" s="119"/>
      <c r="X59" s="119"/>
      <c r="Y59" s="119"/>
      <c r="Z59" s="119"/>
      <c r="AA59" s="118"/>
      <c r="AB59" s="119"/>
    </row>
    <row r="60" spans="2:28" x14ac:dyDescent="0.45">
      <c r="B60" s="118"/>
      <c r="C60" s="118"/>
      <c r="D60" s="118"/>
      <c r="E60" s="119"/>
      <c r="F60" s="119"/>
      <c r="G60" s="119"/>
      <c r="H60" s="119"/>
      <c r="I60" s="119"/>
      <c r="J60" s="119"/>
      <c r="K60" s="119"/>
      <c r="L60" s="119"/>
      <c r="M60" s="119"/>
      <c r="N60" s="119"/>
      <c r="O60" s="119"/>
      <c r="P60" s="119"/>
      <c r="Q60" s="119"/>
      <c r="R60" s="119"/>
      <c r="S60" s="119"/>
      <c r="T60" s="119"/>
      <c r="U60" s="119"/>
      <c r="V60" s="119"/>
      <c r="W60" s="119"/>
      <c r="X60" s="119"/>
      <c r="Y60" s="119"/>
      <c r="Z60" s="119"/>
      <c r="AA60" s="118"/>
      <c r="AB60" s="119"/>
    </row>
  </sheetData>
  <pageMargins left="0.7" right="0.7" top="0.75" bottom="0.75" header="0.3" footer="0.3"/>
  <pageSetup paperSize="5" scale="40" fitToHeight="0" orientation="landscape" r:id="rId1"/>
  <headerFooter>
    <oddFooter>&amp;LSDGE 2021 WMP - &amp;A&amp;C&amp;P&amp;R&amp;D</oddFooter>
  </headerFooter>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4125A-C57E-4A27-8683-82C0D8F9EB66}">
  <sheetPr codeName="Sheet5">
    <pageSetUpPr fitToPage="1"/>
  </sheetPr>
  <dimension ref="B1:W22"/>
  <sheetViews>
    <sheetView view="pageLayout" topLeftCell="A7" zoomScale="80" zoomScaleNormal="100" zoomScaleSheetLayoutView="40" zoomScalePageLayoutView="80" workbookViewId="0">
      <selection activeCell="C5" sqref="C5"/>
    </sheetView>
  </sheetViews>
  <sheetFormatPr defaultColWidth="9.265625" defaultRowHeight="14.25" outlineLevelCol="1" x14ac:dyDescent="0.45"/>
  <cols>
    <col min="1" max="1" width="5.59765625" style="8" customWidth="1"/>
    <col min="2" max="2" width="37.265625" style="1" customWidth="1"/>
    <col min="3" max="3" width="11.265625" style="8" bestFit="1" customWidth="1"/>
    <col min="4" max="4" width="70.59765625" style="8" customWidth="1"/>
    <col min="5" max="8" width="9.3984375" style="8" customWidth="1"/>
    <col min="9" max="9" width="10.265625" style="8" customWidth="1"/>
    <col min="10" max="12" width="9.265625" style="8"/>
    <col min="13" max="13" width="9.265625" style="8" customWidth="1"/>
    <col min="14" max="21" width="9.265625" style="8" customWidth="1" outlineLevel="1"/>
    <col min="22" max="22" width="13.73046875" style="1" customWidth="1"/>
    <col min="23" max="23" width="52.265625" style="8" customWidth="1"/>
    <col min="24" max="16384" width="9.265625" style="8"/>
  </cols>
  <sheetData>
    <row r="1" spans="2:23" ht="14.65" thickBot="1" x14ac:dyDescent="0.5"/>
    <row r="2" spans="2:23" x14ac:dyDescent="0.45">
      <c r="B2" s="14" t="s">
        <v>0</v>
      </c>
      <c r="C2" s="19" t="str">
        <f>IF('Quarterly Submission Guide'!$D$20 = "", "",'Quarterly Submission Guide'!$D$20)</f>
        <v>SDG&amp;E</v>
      </c>
    </row>
    <row r="3" spans="2:23" x14ac:dyDescent="0.45">
      <c r="B3" s="15" t="s">
        <v>2</v>
      </c>
      <c r="C3" s="13">
        <v>4</v>
      </c>
    </row>
    <row r="4" spans="2:23" ht="14.65" thickBot="1" x14ac:dyDescent="0.5">
      <c r="B4" s="16" t="s">
        <v>4</v>
      </c>
      <c r="C4" s="30">
        <v>44232</v>
      </c>
    </row>
    <row r="5" spans="2:23" x14ac:dyDescent="0.45">
      <c r="N5" s="62" t="s">
        <v>5</v>
      </c>
    </row>
    <row r="6" spans="2:23" ht="18" customHeight="1" x14ac:dyDescent="0.45">
      <c r="B6" s="3" t="s">
        <v>218</v>
      </c>
      <c r="C6" s="2"/>
      <c r="D6" s="2"/>
      <c r="E6" s="2"/>
      <c r="F6" s="2"/>
      <c r="G6" s="2"/>
      <c r="H6" s="2"/>
      <c r="I6" s="2"/>
      <c r="J6" s="4">
        <v>1</v>
      </c>
      <c r="K6" s="4">
        <v>2</v>
      </c>
      <c r="L6" s="4">
        <v>3</v>
      </c>
      <c r="M6" s="4">
        <v>4</v>
      </c>
      <c r="N6" s="4">
        <v>1</v>
      </c>
      <c r="O6" s="4">
        <v>2</v>
      </c>
      <c r="P6" s="4">
        <v>3</v>
      </c>
      <c r="Q6" s="4">
        <v>4</v>
      </c>
      <c r="R6" s="4">
        <v>1</v>
      </c>
      <c r="S6" s="4">
        <v>2</v>
      </c>
      <c r="T6" s="4">
        <v>3</v>
      </c>
      <c r="U6" s="4">
        <v>4</v>
      </c>
      <c r="V6" s="7"/>
      <c r="W6" s="2"/>
    </row>
    <row r="7" spans="2:23" x14ac:dyDescent="0.45">
      <c r="B7" s="5" t="s">
        <v>7</v>
      </c>
      <c r="C7" s="6" t="s">
        <v>8</v>
      </c>
      <c r="D7" s="6" t="s">
        <v>104</v>
      </c>
      <c r="E7" s="6">
        <v>2015</v>
      </c>
      <c r="F7" s="6">
        <v>2016</v>
      </c>
      <c r="G7" s="6">
        <v>2017</v>
      </c>
      <c r="H7" s="6">
        <v>2018</v>
      </c>
      <c r="I7" s="6">
        <v>2019</v>
      </c>
      <c r="J7" s="6">
        <v>2020</v>
      </c>
      <c r="K7" s="6">
        <v>2020</v>
      </c>
      <c r="L7" s="6">
        <v>2020</v>
      </c>
      <c r="M7" s="6">
        <v>2020</v>
      </c>
      <c r="N7" s="6">
        <v>2021</v>
      </c>
      <c r="O7" s="6">
        <v>2021</v>
      </c>
      <c r="P7" s="6">
        <v>2021</v>
      </c>
      <c r="Q7" s="6">
        <v>2021</v>
      </c>
      <c r="R7" s="6">
        <v>2022</v>
      </c>
      <c r="S7" s="6">
        <v>2022</v>
      </c>
      <c r="T7" s="6">
        <v>2022</v>
      </c>
      <c r="U7" s="6">
        <v>2022</v>
      </c>
      <c r="V7" s="5" t="s">
        <v>10</v>
      </c>
      <c r="W7" s="6" t="s">
        <v>11</v>
      </c>
    </row>
    <row r="8" spans="2:23" x14ac:dyDescent="0.45">
      <c r="B8" s="37" t="s">
        <v>219</v>
      </c>
      <c r="C8" s="9" t="s">
        <v>13</v>
      </c>
      <c r="D8" s="12" t="s">
        <v>220</v>
      </c>
      <c r="E8" s="125">
        <v>0</v>
      </c>
      <c r="F8" s="125">
        <v>0</v>
      </c>
      <c r="G8" s="125">
        <v>0</v>
      </c>
      <c r="H8" s="125">
        <v>0</v>
      </c>
      <c r="I8" s="125">
        <v>0</v>
      </c>
      <c r="J8" s="125">
        <v>0</v>
      </c>
      <c r="K8" s="125">
        <v>0</v>
      </c>
      <c r="L8" s="125">
        <v>0</v>
      </c>
      <c r="M8" s="125">
        <v>0</v>
      </c>
      <c r="N8" s="115"/>
      <c r="O8" s="115"/>
      <c r="P8" s="115"/>
      <c r="Q8" s="115"/>
      <c r="R8" s="115"/>
      <c r="S8" s="115"/>
      <c r="T8" s="115"/>
      <c r="U8" s="115"/>
      <c r="V8" s="11" t="s">
        <v>221</v>
      </c>
      <c r="W8" s="115"/>
    </row>
    <row r="9" spans="2:23" x14ac:dyDescent="0.45">
      <c r="B9" s="38"/>
      <c r="C9" s="10" t="s">
        <v>16</v>
      </c>
      <c r="D9" s="12" t="s">
        <v>222</v>
      </c>
      <c r="E9" s="125">
        <v>0</v>
      </c>
      <c r="F9" s="125">
        <v>0</v>
      </c>
      <c r="G9" s="125">
        <v>0</v>
      </c>
      <c r="H9" s="125">
        <v>0</v>
      </c>
      <c r="I9" s="125">
        <v>0</v>
      </c>
      <c r="J9" s="125">
        <v>0</v>
      </c>
      <c r="K9" s="125">
        <v>0</v>
      </c>
      <c r="L9" s="125">
        <v>0</v>
      </c>
      <c r="M9" s="125">
        <v>0</v>
      </c>
      <c r="N9" s="116"/>
      <c r="O9" s="116"/>
      <c r="P9" s="116"/>
      <c r="Q9" s="116"/>
      <c r="R9" s="116"/>
      <c r="S9" s="116"/>
      <c r="T9" s="116"/>
      <c r="U9" s="116"/>
      <c r="V9" s="12" t="s">
        <v>221</v>
      </c>
      <c r="W9" s="116"/>
    </row>
    <row r="10" spans="2:23" x14ac:dyDescent="0.45">
      <c r="B10" s="38"/>
      <c r="C10" s="10" t="s">
        <v>18</v>
      </c>
      <c r="D10" s="12" t="s">
        <v>223</v>
      </c>
      <c r="E10" s="125">
        <v>0</v>
      </c>
      <c r="F10" s="125">
        <v>0</v>
      </c>
      <c r="G10" s="125">
        <v>0</v>
      </c>
      <c r="H10" s="125">
        <v>0</v>
      </c>
      <c r="I10" s="125">
        <v>0</v>
      </c>
      <c r="J10" s="125">
        <v>0</v>
      </c>
      <c r="K10" s="125">
        <v>0</v>
      </c>
      <c r="L10" s="125">
        <v>0</v>
      </c>
      <c r="M10" s="125">
        <v>0</v>
      </c>
      <c r="N10" s="116"/>
      <c r="O10" s="116"/>
      <c r="P10" s="116"/>
      <c r="Q10" s="116"/>
      <c r="R10" s="116"/>
      <c r="S10" s="116"/>
      <c r="T10" s="116"/>
      <c r="U10" s="116"/>
      <c r="V10" s="12" t="s">
        <v>221</v>
      </c>
      <c r="W10" s="116"/>
    </row>
    <row r="11" spans="2:23" x14ac:dyDescent="0.45">
      <c r="B11" s="38"/>
      <c r="C11" s="10" t="s">
        <v>20</v>
      </c>
      <c r="D11" s="12" t="s">
        <v>224</v>
      </c>
      <c r="E11" s="125">
        <v>0</v>
      </c>
      <c r="F11" s="125">
        <v>0</v>
      </c>
      <c r="G11" s="125">
        <v>0</v>
      </c>
      <c r="H11" s="125">
        <v>0</v>
      </c>
      <c r="I11" s="125">
        <v>0</v>
      </c>
      <c r="J11" s="125">
        <v>0</v>
      </c>
      <c r="K11" s="125">
        <v>0</v>
      </c>
      <c r="L11" s="125">
        <v>0</v>
      </c>
      <c r="M11" s="125">
        <v>0</v>
      </c>
      <c r="N11" s="116"/>
      <c r="O11" s="116"/>
      <c r="P11" s="116"/>
      <c r="Q11" s="116"/>
      <c r="R11" s="116"/>
      <c r="S11" s="116"/>
      <c r="T11" s="116"/>
      <c r="U11" s="116"/>
      <c r="V11" s="12" t="s">
        <v>221</v>
      </c>
      <c r="W11" s="116"/>
    </row>
    <row r="12" spans="2:23" x14ac:dyDescent="0.45">
      <c r="B12" s="38"/>
      <c r="C12" s="10" t="s">
        <v>23</v>
      </c>
      <c r="D12" s="12" t="s">
        <v>225</v>
      </c>
      <c r="E12" s="125">
        <v>0</v>
      </c>
      <c r="F12" s="125">
        <v>0</v>
      </c>
      <c r="G12" s="125">
        <v>0</v>
      </c>
      <c r="H12" s="125">
        <v>0</v>
      </c>
      <c r="I12" s="125">
        <v>0</v>
      </c>
      <c r="J12" s="125">
        <v>0</v>
      </c>
      <c r="K12" s="125">
        <v>0</v>
      </c>
      <c r="L12" s="125">
        <v>0</v>
      </c>
      <c r="M12" s="125">
        <v>0</v>
      </c>
      <c r="N12" s="116"/>
      <c r="O12" s="116"/>
      <c r="P12" s="116"/>
      <c r="Q12" s="116"/>
      <c r="R12" s="116"/>
      <c r="S12" s="116"/>
      <c r="T12" s="116"/>
      <c r="U12" s="116"/>
      <c r="V12" s="12" t="s">
        <v>221</v>
      </c>
      <c r="W12" s="116"/>
    </row>
    <row r="13" spans="2:23" x14ac:dyDescent="0.45">
      <c r="B13" s="38" t="s">
        <v>226</v>
      </c>
      <c r="C13" s="10" t="s">
        <v>114</v>
      </c>
      <c r="D13" s="12" t="s">
        <v>227</v>
      </c>
      <c r="E13" s="125">
        <v>0</v>
      </c>
      <c r="F13" s="125">
        <v>0</v>
      </c>
      <c r="G13" s="125">
        <v>0</v>
      </c>
      <c r="H13" s="125">
        <v>0</v>
      </c>
      <c r="I13" s="125">
        <v>0</v>
      </c>
      <c r="J13" s="125">
        <v>0</v>
      </c>
      <c r="K13" s="125">
        <v>0</v>
      </c>
      <c r="L13" s="125">
        <v>0</v>
      </c>
      <c r="M13" s="125">
        <v>0</v>
      </c>
      <c r="N13" s="116"/>
      <c r="O13" s="116"/>
      <c r="P13" s="116"/>
      <c r="Q13" s="119"/>
      <c r="R13" s="116"/>
      <c r="S13" s="116"/>
      <c r="T13" s="116"/>
      <c r="U13" s="116"/>
      <c r="V13" s="12" t="s">
        <v>221</v>
      </c>
      <c r="W13" s="116"/>
    </row>
    <row r="14" spans="2:23" x14ac:dyDescent="0.45">
      <c r="B14" s="38"/>
      <c r="C14" s="10" t="s">
        <v>116</v>
      </c>
      <c r="D14" s="12" t="s">
        <v>228</v>
      </c>
      <c r="E14" s="125">
        <v>1</v>
      </c>
      <c r="F14" s="125">
        <v>0</v>
      </c>
      <c r="G14" s="125">
        <v>0</v>
      </c>
      <c r="H14" s="125">
        <v>0</v>
      </c>
      <c r="I14" s="125">
        <v>0</v>
      </c>
      <c r="J14" s="125">
        <v>0</v>
      </c>
      <c r="K14" s="125">
        <v>0</v>
      </c>
      <c r="L14" s="125">
        <v>0</v>
      </c>
      <c r="M14" s="125">
        <v>0</v>
      </c>
      <c r="N14" s="116"/>
      <c r="O14" s="116"/>
      <c r="P14" s="116"/>
      <c r="Q14" s="116"/>
      <c r="R14" s="116"/>
      <c r="S14" s="116"/>
      <c r="T14" s="116"/>
      <c r="U14" s="116"/>
      <c r="V14" s="12" t="s">
        <v>221</v>
      </c>
      <c r="W14" s="116"/>
    </row>
    <row r="15" spans="2:23" x14ac:dyDescent="0.45">
      <c r="B15" s="38"/>
      <c r="C15" s="10" t="s">
        <v>118</v>
      </c>
      <c r="D15" s="12" t="s">
        <v>229</v>
      </c>
      <c r="E15" s="125">
        <v>0</v>
      </c>
      <c r="F15" s="125">
        <v>0</v>
      </c>
      <c r="G15" s="125">
        <v>0</v>
      </c>
      <c r="H15" s="125">
        <v>0</v>
      </c>
      <c r="I15" s="125">
        <v>0</v>
      </c>
      <c r="J15" s="125">
        <v>0</v>
      </c>
      <c r="K15" s="125">
        <v>0</v>
      </c>
      <c r="L15" s="125">
        <v>0</v>
      </c>
      <c r="M15" s="125">
        <v>0</v>
      </c>
      <c r="N15" s="116"/>
      <c r="O15" s="116"/>
      <c r="P15" s="116"/>
      <c r="Q15" s="116"/>
      <c r="R15" s="116"/>
      <c r="S15" s="116"/>
      <c r="T15" s="116"/>
      <c r="U15" s="116"/>
      <c r="V15" s="12" t="s">
        <v>221</v>
      </c>
      <c r="W15" s="116"/>
    </row>
    <row r="16" spans="2:23" x14ac:dyDescent="0.45">
      <c r="B16" s="38"/>
      <c r="C16" s="10" t="s">
        <v>120</v>
      </c>
      <c r="D16" s="12" t="s">
        <v>230</v>
      </c>
      <c r="E16" s="125">
        <v>0</v>
      </c>
      <c r="F16" s="125">
        <v>0</v>
      </c>
      <c r="G16" s="125">
        <v>0</v>
      </c>
      <c r="H16" s="125">
        <v>0</v>
      </c>
      <c r="I16" s="125">
        <v>0</v>
      </c>
      <c r="J16" s="125">
        <v>0</v>
      </c>
      <c r="K16" s="125">
        <v>0</v>
      </c>
      <c r="L16" s="125">
        <v>0</v>
      </c>
      <c r="M16" s="125">
        <v>0</v>
      </c>
      <c r="N16" s="116"/>
      <c r="O16" s="116"/>
      <c r="P16" s="116"/>
      <c r="Q16" s="116"/>
      <c r="R16" s="116"/>
      <c r="S16" s="116"/>
      <c r="T16" s="116"/>
      <c r="U16" s="116"/>
      <c r="V16" s="12" t="s">
        <v>221</v>
      </c>
      <c r="W16" s="116"/>
    </row>
    <row r="17" spans="2:23" x14ac:dyDescent="0.45">
      <c r="B17" s="38"/>
      <c r="C17" s="10" t="s">
        <v>194</v>
      </c>
      <c r="D17" s="12" t="s">
        <v>231</v>
      </c>
      <c r="E17" s="125">
        <v>0</v>
      </c>
      <c r="F17" s="125">
        <v>0</v>
      </c>
      <c r="G17" s="125">
        <v>0</v>
      </c>
      <c r="H17" s="125">
        <v>0</v>
      </c>
      <c r="I17" s="125">
        <v>0</v>
      </c>
      <c r="J17" s="125">
        <v>0</v>
      </c>
      <c r="K17" s="125">
        <v>0</v>
      </c>
      <c r="L17" s="125">
        <v>0</v>
      </c>
      <c r="M17" s="125">
        <v>0</v>
      </c>
      <c r="N17" s="116"/>
      <c r="O17" s="116"/>
      <c r="P17" s="116"/>
      <c r="Q17" s="116"/>
      <c r="R17" s="116"/>
      <c r="S17" s="116"/>
      <c r="T17" s="116"/>
      <c r="U17" s="116"/>
      <c r="V17" s="12" t="s">
        <v>221</v>
      </c>
      <c r="W17" s="116"/>
    </row>
    <row r="18" spans="2:23" x14ac:dyDescent="0.45">
      <c r="B18" s="38" t="s">
        <v>232</v>
      </c>
      <c r="C18" s="10" t="s">
        <v>93</v>
      </c>
      <c r="D18" s="12" t="s">
        <v>233</v>
      </c>
      <c r="E18" s="125">
        <v>0</v>
      </c>
      <c r="F18" s="125">
        <v>0</v>
      </c>
      <c r="G18" s="125">
        <v>0</v>
      </c>
      <c r="H18" s="125">
        <v>0</v>
      </c>
      <c r="I18" s="125">
        <v>0</v>
      </c>
      <c r="J18" s="125">
        <v>0</v>
      </c>
      <c r="K18" s="125">
        <v>0</v>
      </c>
      <c r="L18" s="125">
        <v>0</v>
      </c>
      <c r="M18" s="125">
        <v>0</v>
      </c>
      <c r="N18" s="116"/>
      <c r="O18" s="116"/>
      <c r="P18" s="116"/>
      <c r="Q18" s="116"/>
      <c r="R18" s="116"/>
      <c r="S18" s="116"/>
      <c r="T18" s="116"/>
      <c r="U18" s="116"/>
      <c r="V18" s="12" t="s">
        <v>221</v>
      </c>
      <c r="W18" s="116"/>
    </row>
    <row r="19" spans="2:23" x14ac:dyDescent="0.45">
      <c r="B19" s="38"/>
      <c r="C19" s="10" t="s">
        <v>97</v>
      </c>
      <c r="D19" s="12" t="s">
        <v>234</v>
      </c>
      <c r="E19" s="125">
        <v>0</v>
      </c>
      <c r="F19" s="125">
        <v>0</v>
      </c>
      <c r="G19" s="125">
        <v>0</v>
      </c>
      <c r="H19" s="125">
        <v>0</v>
      </c>
      <c r="I19" s="125">
        <v>0</v>
      </c>
      <c r="J19" s="125">
        <v>0</v>
      </c>
      <c r="K19" s="125">
        <v>0</v>
      </c>
      <c r="L19" s="125">
        <v>0</v>
      </c>
      <c r="M19" s="125">
        <v>0</v>
      </c>
      <c r="N19" s="116"/>
      <c r="O19" s="116"/>
      <c r="P19" s="116"/>
      <c r="Q19" s="116"/>
      <c r="R19" s="116"/>
      <c r="S19" s="116"/>
      <c r="T19" s="116"/>
      <c r="U19" s="116"/>
      <c r="V19" s="12" t="s">
        <v>221</v>
      </c>
      <c r="W19" s="116"/>
    </row>
    <row r="20" spans="2:23" x14ac:dyDescent="0.45">
      <c r="B20" s="38"/>
      <c r="C20" s="10" t="s">
        <v>100</v>
      </c>
      <c r="D20" s="12" t="s">
        <v>235</v>
      </c>
      <c r="E20" s="125">
        <v>0</v>
      </c>
      <c r="F20" s="125">
        <v>0</v>
      </c>
      <c r="G20" s="125">
        <v>0</v>
      </c>
      <c r="H20" s="125">
        <v>0</v>
      </c>
      <c r="I20" s="125">
        <v>0</v>
      </c>
      <c r="J20" s="125">
        <v>0</v>
      </c>
      <c r="K20" s="125">
        <v>0</v>
      </c>
      <c r="L20" s="125">
        <v>0</v>
      </c>
      <c r="M20" s="125">
        <v>0</v>
      </c>
      <c r="N20" s="116"/>
      <c r="O20" s="116"/>
      <c r="P20" s="116"/>
      <c r="Q20" s="116"/>
      <c r="R20" s="116"/>
      <c r="S20" s="116"/>
      <c r="T20" s="116"/>
      <c r="U20" s="116"/>
      <c r="V20" s="12" t="s">
        <v>221</v>
      </c>
      <c r="W20" s="116"/>
    </row>
    <row r="21" spans="2:23" x14ac:dyDescent="0.45">
      <c r="B21" s="38"/>
      <c r="C21" s="10" t="s">
        <v>208</v>
      </c>
      <c r="D21" s="12" t="s">
        <v>236</v>
      </c>
      <c r="E21" s="125">
        <v>0</v>
      </c>
      <c r="F21" s="125">
        <v>0</v>
      </c>
      <c r="G21" s="125">
        <v>0</v>
      </c>
      <c r="H21" s="125">
        <v>0</v>
      </c>
      <c r="I21" s="125">
        <v>0</v>
      </c>
      <c r="J21" s="125">
        <v>0</v>
      </c>
      <c r="K21" s="125">
        <v>0</v>
      </c>
      <c r="L21" s="125">
        <v>0</v>
      </c>
      <c r="M21" s="125">
        <v>0</v>
      </c>
      <c r="N21" s="116"/>
      <c r="O21" s="116"/>
      <c r="P21" s="116"/>
      <c r="Q21" s="116"/>
      <c r="R21" s="116"/>
      <c r="S21" s="116"/>
      <c r="T21" s="116"/>
      <c r="U21" s="116"/>
      <c r="V21" s="12" t="s">
        <v>221</v>
      </c>
      <c r="W21" s="116"/>
    </row>
    <row r="22" spans="2:23" x14ac:dyDescent="0.45">
      <c r="B22" s="38"/>
      <c r="C22" s="10" t="s">
        <v>210</v>
      </c>
      <c r="D22" s="12" t="s">
        <v>237</v>
      </c>
      <c r="E22" s="125">
        <v>0</v>
      </c>
      <c r="F22" s="125">
        <v>0</v>
      </c>
      <c r="G22" s="125">
        <v>0</v>
      </c>
      <c r="H22" s="125">
        <v>0</v>
      </c>
      <c r="I22" s="125">
        <v>0</v>
      </c>
      <c r="J22" s="125">
        <v>0</v>
      </c>
      <c r="K22" s="125">
        <v>0</v>
      </c>
      <c r="L22" s="125">
        <v>0</v>
      </c>
      <c r="M22" s="125">
        <v>0</v>
      </c>
      <c r="N22" s="116"/>
      <c r="O22" s="116"/>
      <c r="P22" s="116"/>
      <c r="Q22" s="116"/>
      <c r="R22" s="116"/>
      <c r="S22" s="116"/>
      <c r="T22" s="116"/>
      <c r="U22" s="116"/>
      <c r="V22" s="12" t="s">
        <v>221</v>
      </c>
      <c r="W22" s="116"/>
    </row>
  </sheetData>
  <dataValidations disablePrompts="1" count="1">
    <dataValidation type="custom" operator="greaterThanOrEqual" allowBlank="1" showInputMessage="1" showErrorMessage="1" error="This cell only accepts a number of &quot;NA&quot;_x000a_" sqref="E8:U12 R13:U13 E13:P13 E14:U22" xr:uid="{D98EF138-10C3-451E-BDE5-5863A5F045DC}">
      <formula1>OR(AND(ISNUMBER(E8), E8&gt;=0), E8 ="NA")</formula1>
    </dataValidation>
  </dataValidations>
  <pageMargins left="0.7" right="0.7" top="0.75" bottom="0.75" header="0.3" footer="0.3"/>
  <pageSetup paperSize="5" scale="46" fitToHeight="0" orientation="landscape" r:id="rId1"/>
  <headerFooter>
    <oddFooter>&amp;LSDGE 2021 WMP - &amp;A&amp;C&amp;P&amp;R&amp;D</oddFooter>
  </headerFooter>
  <customProperties>
    <customPr name="_pios_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D0F9F-9B97-4488-BB47-198D92041167}">
  <sheetPr codeName="Sheet6">
    <pageSetUpPr fitToPage="1"/>
  </sheetPr>
  <dimension ref="B1:W22"/>
  <sheetViews>
    <sheetView view="pageLayout" zoomScale="90" zoomScaleNormal="100" zoomScalePageLayoutView="90" workbookViewId="0">
      <selection activeCell="C5" sqref="C5"/>
    </sheetView>
  </sheetViews>
  <sheetFormatPr defaultColWidth="9.265625" defaultRowHeight="14.25" outlineLevelCol="1" x14ac:dyDescent="0.45"/>
  <cols>
    <col min="1" max="1" width="5.59765625" style="8" customWidth="1"/>
    <col min="2" max="2" width="37.265625" style="1" customWidth="1"/>
    <col min="3" max="3" width="11.265625" style="8" bestFit="1" customWidth="1"/>
    <col min="4" max="4" width="82.265625" style="8" customWidth="1"/>
    <col min="5" max="8" width="9.3984375" style="8" customWidth="1"/>
    <col min="9" max="9" width="10.265625" style="8" customWidth="1"/>
    <col min="10" max="12" width="9.265625" style="8"/>
    <col min="13" max="13" width="9.265625" style="8" customWidth="1"/>
    <col min="14" max="21" width="9.265625" style="8" customWidth="1" outlineLevel="1"/>
    <col min="22" max="22" width="41.86328125" style="1" customWidth="1"/>
    <col min="23" max="23" width="47.73046875" style="8" customWidth="1"/>
    <col min="24" max="16384" width="9.265625" style="8"/>
  </cols>
  <sheetData>
    <row r="1" spans="2:23" ht="14.65" thickBot="1" x14ac:dyDescent="0.5"/>
    <row r="2" spans="2:23" x14ac:dyDescent="0.45">
      <c r="B2" s="14" t="s">
        <v>0</v>
      </c>
      <c r="C2" s="19" t="str">
        <f>IF('Quarterly Submission Guide'!$D$20 = "", "",'Quarterly Submission Guide'!$D$20)</f>
        <v>SDG&amp;E</v>
      </c>
    </row>
    <row r="3" spans="2:23" x14ac:dyDescent="0.45">
      <c r="B3" s="15" t="s">
        <v>2</v>
      </c>
      <c r="C3" s="13">
        <v>5</v>
      </c>
    </row>
    <row r="4" spans="2:23" ht="14.65" thickBot="1" x14ac:dyDescent="0.5">
      <c r="B4" s="16" t="s">
        <v>4</v>
      </c>
      <c r="C4" s="30">
        <v>44232</v>
      </c>
    </row>
    <row r="5" spans="2:23" x14ac:dyDescent="0.45">
      <c r="N5" s="62" t="s">
        <v>5</v>
      </c>
    </row>
    <row r="6" spans="2:23" ht="18" customHeight="1" x14ac:dyDescent="0.45">
      <c r="B6" s="3" t="s">
        <v>238</v>
      </c>
      <c r="C6" s="2"/>
      <c r="D6" s="2"/>
      <c r="E6" s="2"/>
      <c r="F6" s="2"/>
      <c r="G6" s="2"/>
      <c r="H6" s="2"/>
      <c r="I6" s="2"/>
      <c r="J6" s="4">
        <v>1</v>
      </c>
      <c r="K6" s="4">
        <v>2</v>
      </c>
      <c r="L6" s="4">
        <v>3</v>
      </c>
      <c r="M6" s="4">
        <v>4</v>
      </c>
      <c r="N6" s="4">
        <v>1</v>
      </c>
      <c r="O6" s="4">
        <v>2</v>
      </c>
      <c r="P6" s="4">
        <v>3</v>
      </c>
      <c r="Q6" s="4">
        <v>4</v>
      </c>
      <c r="R6" s="4">
        <v>1</v>
      </c>
      <c r="S6" s="4">
        <v>2</v>
      </c>
      <c r="T6" s="4">
        <v>3</v>
      </c>
      <c r="U6" s="4">
        <v>4</v>
      </c>
      <c r="V6" s="7"/>
      <c r="W6" s="2"/>
    </row>
    <row r="7" spans="2:23" x14ac:dyDescent="0.45">
      <c r="B7" s="5" t="s">
        <v>7</v>
      </c>
      <c r="C7" s="6" t="s">
        <v>8</v>
      </c>
      <c r="D7" s="6" t="s">
        <v>104</v>
      </c>
      <c r="E7" s="6">
        <v>2015</v>
      </c>
      <c r="F7" s="6">
        <v>2016</v>
      </c>
      <c r="G7" s="6">
        <v>2017</v>
      </c>
      <c r="H7" s="6">
        <v>2018</v>
      </c>
      <c r="I7" s="6">
        <v>2019</v>
      </c>
      <c r="J7" s="6">
        <v>2020</v>
      </c>
      <c r="K7" s="6">
        <v>2020</v>
      </c>
      <c r="L7" s="6">
        <v>2020</v>
      </c>
      <c r="M7" s="6">
        <v>2020</v>
      </c>
      <c r="N7" s="6">
        <v>2021</v>
      </c>
      <c r="O7" s="6">
        <v>2021</v>
      </c>
      <c r="P7" s="6">
        <v>2021</v>
      </c>
      <c r="Q7" s="6">
        <v>2021</v>
      </c>
      <c r="R7" s="6">
        <v>2022</v>
      </c>
      <c r="S7" s="6">
        <v>2022</v>
      </c>
      <c r="T7" s="6">
        <v>2022</v>
      </c>
      <c r="U7" s="6">
        <v>2022</v>
      </c>
      <c r="V7" s="5" t="s">
        <v>10</v>
      </c>
      <c r="W7" s="6" t="s">
        <v>11</v>
      </c>
    </row>
    <row r="8" spans="2:23" x14ac:dyDescent="0.45">
      <c r="B8" s="37" t="s">
        <v>239</v>
      </c>
      <c r="C8" s="9" t="s">
        <v>13</v>
      </c>
      <c r="D8" s="12" t="s">
        <v>240</v>
      </c>
      <c r="E8" s="125">
        <v>0</v>
      </c>
      <c r="F8" s="125">
        <v>0</v>
      </c>
      <c r="G8" s="125">
        <v>0</v>
      </c>
      <c r="H8" s="125">
        <v>0</v>
      </c>
      <c r="I8" s="125">
        <v>0</v>
      </c>
      <c r="J8" s="125">
        <v>0</v>
      </c>
      <c r="K8" s="125">
        <v>0</v>
      </c>
      <c r="L8" s="125">
        <v>0</v>
      </c>
      <c r="M8" s="125">
        <v>0</v>
      </c>
      <c r="N8" s="115"/>
      <c r="O8" s="115"/>
      <c r="P8" s="115"/>
      <c r="Q8" s="115"/>
      <c r="R8" s="115"/>
      <c r="S8" s="115"/>
      <c r="T8" s="115"/>
      <c r="U8" s="115"/>
      <c r="V8" s="11" t="s">
        <v>241</v>
      </c>
      <c r="W8" s="115"/>
    </row>
    <row r="9" spans="2:23" x14ac:dyDescent="0.45">
      <c r="B9" s="38"/>
      <c r="C9" s="10" t="s">
        <v>16</v>
      </c>
      <c r="D9" s="12" t="s">
        <v>242</v>
      </c>
      <c r="E9" s="125">
        <v>0</v>
      </c>
      <c r="F9" s="125">
        <v>0</v>
      </c>
      <c r="G9" s="125">
        <v>0</v>
      </c>
      <c r="H9" s="125">
        <v>0</v>
      </c>
      <c r="I9" s="125">
        <v>0</v>
      </c>
      <c r="J9" s="125">
        <v>0</v>
      </c>
      <c r="K9" s="125">
        <v>0</v>
      </c>
      <c r="L9" s="125">
        <v>0</v>
      </c>
      <c r="M9" s="125">
        <v>0</v>
      </c>
      <c r="N9" s="116"/>
      <c r="O9" s="116"/>
      <c r="P9" s="116"/>
      <c r="Q9" s="116"/>
      <c r="R9" s="116"/>
      <c r="S9" s="116"/>
      <c r="T9" s="116"/>
      <c r="U9" s="116"/>
      <c r="V9" s="12" t="s">
        <v>241</v>
      </c>
      <c r="W9" s="116"/>
    </row>
    <row r="10" spans="2:23" x14ac:dyDescent="0.45">
      <c r="B10" s="38"/>
      <c r="C10" s="10" t="s">
        <v>18</v>
      </c>
      <c r="D10" s="12" t="s">
        <v>243</v>
      </c>
      <c r="E10" s="125">
        <v>0</v>
      </c>
      <c r="F10" s="125">
        <v>0</v>
      </c>
      <c r="G10" s="125">
        <v>0</v>
      </c>
      <c r="H10" s="125">
        <v>0</v>
      </c>
      <c r="I10" s="125">
        <v>0</v>
      </c>
      <c r="J10" s="125">
        <v>0</v>
      </c>
      <c r="K10" s="125">
        <v>0</v>
      </c>
      <c r="L10" s="125">
        <v>0</v>
      </c>
      <c r="M10" s="125">
        <v>0</v>
      </c>
      <c r="N10" s="116"/>
      <c r="O10" s="116"/>
      <c r="P10" s="116"/>
      <c r="Q10" s="116"/>
      <c r="R10" s="116"/>
      <c r="S10" s="116"/>
      <c r="T10" s="116"/>
      <c r="U10" s="116"/>
      <c r="V10" s="12" t="s">
        <v>241</v>
      </c>
      <c r="W10" s="116"/>
    </row>
    <row r="11" spans="2:23" x14ac:dyDescent="0.45">
      <c r="B11" s="38"/>
      <c r="C11" s="10" t="s">
        <v>20</v>
      </c>
      <c r="D11" s="12" t="s">
        <v>244</v>
      </c>
      <c r="E11" s="125">
        <v>0</v>
      </c>
      <c r="F11" s="125">
        <v>0</v>
      </c>
      <c r="G11" s="125">
        <v>0</v>
      </c>
      <c r="H11" s="125">
        <v>0</v>
      </c>
      <c r="I11" s="125">
        <v>0</v>
      </c>
      <c r="J11" s="125">
        <v>0</v>
      </c>
      <c r="K11" s="125">
        <v>0</v>
      </c>
      <c r="L11" s="125">
        <v>0</v>
      </c>
      <c r="M11" s="125">
        <v>0</v>
      </c>
      <c r="N11" s="116"/>
      <c r="O11" s="116"/>
      <c r="P11" s="116"/>
      <c r="Q11" s="116"/>
      <c r="R11" s="116"/>
      <c r="S11" s="116"/>
      <c r="T11" s="116"/>
      <c r="U11" s="116"/>
      <c r="V11" s="12" t="s">
        <v>241</v>
      </c>
      <c r="W11" s="116"/>
    </row>
    <row r="12" spans="2:23" x14ac:dyDescent="0.45">
      <c r="B12" s="38"/>
      <c r="C12" s="10" t="s">
        <v>23</v>
      </c>
      <c r="D12" s="12" t="s">
        <v>245</v>
      </c>
      <c r="E12" s="125">
        <v>0</v>
      </c>
      <c r="F12" s="125">
        <v>0</v>
      </c>
      <c r="G12" s="125">
        <v>0</v>
      </c>
      <c r="H12" s="125">
        <v>0</v>
      </c>
      <c r="I12" s="125">
        <v>0</v>
      </c>
      <c r="J12" s="125">
        <v>0</v>
      </c>
      <c r="K12" s="125">
        <v>0</v>
      </c>
      <c r="L12" s="125">
        <v>0</v>
      </c>
      <c r="M12" s="125">
        <v>0</v>
      </c>
      <c r="N12" s="116"/>
      <c r="O12" s="116"/>
      <c r="P12" s="116"/>
      <c r="Q12" s="116"/>
      <c r="R12" s="116"/>
      <c r="S12" s="116"/>
      <c r="T12" s="116"/>
      <c r="U12" s="116"/>
      <c r="V12" s="12" t="s">
        <v>241</v>
      </c>
      <c r="W12" s="116"/>
    </row>
    <row r="13" spans="2:23" x14ac:dyDescent="0.45">
      <c r="B13" s="38" t="s">
        <v>246</v>
      </c>
      <c r="C13" s="10" t="s">
        <v>114</v>
      </c>
      <c r="D13" s="12" t="s">
        <v>247</v>
      </c>
      <c r="E13" s="125">
        <v>0</v>
      </c>
      <c r="F13" s="125">
        <v>0</v>
      </c>
      <c r="G13" s="125">
        <v>0</v>
      </c>
      <c r="H13" s="125">
        <v>0</v>
      </c>
      <c r="I13" s="125">
        <v>0</v>
      </c>
      <c r="J13" s="125">
        <v>0</v>
      </c>
      <c r="K13" s="125">
        <v>0</v>
      </c>
      <c r="L13" s="125">
        <v>0</v>
      </c>
      <c r="M13" s="125">
        <v>0</v>
      </c>
      <c r="N13" s="116"/>
      <c r="O13" s="116"/>
      <c r="P13" s="116"/>
      <c r="Q13" s="116"/>
      <c r="R13" s="116"/>
      <c r="S13" s="116"/>
      <c r="T13" s="116"/>
      <c r="U13" s="116"/>
      <c r="V13" s="12" t="s">
        <v>241</v>
      </c>
      <c r="W13" s="116"/>
    </row>
    <row r="14" spans="2:23" x14ac:dyDescent="0.45">
      <c r="B14" s="38"/>
      <c r="C14" s="10" t="s">
        <v>116</v>
      </c>
      <c r="D14" s="12" t="s">
        <v>248</v>
      </c>
      <c r="E14" s="125">
        <v>0</v>
      </c>
      <c r="F14" s="125">
        <v>1</v>
      </c>
      <c r="G14" s="125">
        <v>0</v>
      </c>
      <c r="H14" s="125">
        <v>0</v>
      </c>
      <c r="I14" s="125">
        <v>0</v>
      </c>
      <c r="J14" s="125">
        <v>0</v>
      </c>
      <c r="K14" s="125">
        <v>0</v>
      </c>
      <c r="L14" s="125">
        <v>0</v>
      </c>
      <c r="M14" s="125">
        <v>0</v>
      </c>
      <c r="N14" s="116"/>
      <c r="O14" s="116"/>
      <c r="P14" s="116"/>
      <c r="Q14" s="116"/>
      <c r="R14" s="116"/>
      <c r="S14" s="116"/>
      <c r="T14" s="116"/>
      <c r="U14" s="116"/>
      <c r="V14" s="12" t="s">
        <v>241</v>
      </c>
      <c r="W14" s="116"/>
    </row>
    <row r="15" spans="2:23" x14ac:dyDescent="0.45">
      <c r="B15" s="38"/>
      <c r="C15" s="10" t="s">
        <v>118</v>
      </c>
      <c r="D15" s="12" t="s">
        <v>249</v>
      </c>
      <c r="E15" s="125">
        <v>0</v>
      </c>
      <c r="F15" s="125">
        <v>0</v>
      </c>
      <c r="G15" s="125">
        <v>0</v>
      </c>
      <c r="H15" s="125">
        <v>0</v>
      </c>
      <c r="I15" s="125">
        <v>0</v>
      </c>
      <c r="J15" s="125">
        <v>0</v>
      </c>
      <c r="K15" s="125">
        <v>0</v>
      </c>
      <c r="L15" s="125">
        <v>0</v>
      </c>
      <c r="M15" s="125">
        <v>0</v>
      </c>
      <c r="N15" s="116"/>
      <c r="O15" s="116"/>
      <c r="P15" s="116"/>
      <c r="Q15" s="116"/>
      <c r="R15" s="116"/>
      <c r="S15" s="116"/>
      <c r="T15" s="116"/>
      <c r="U15" s="116"/>
      <c r="V15" s="12" t="s">
        <v>241</v>
      </c>
      <c r="W15" s="116"/>
    </row>
    <row r="16" spans="2:23" x14ac:dyDescent="0.45">
      <c r="B16" s="38"/>
      <c r="C16" s="10" t="s">
        <v>120</v>
      </c>
      <c r="D16" s="12" t="s">
        <v>250</v>
      </c>
      <c r="E16" s="125">
        <v>0</v>
      </c>
      <c r="F16" s="125">
        <v>0</v>
      </c>
      <c r="G16" s="125">
        <v>0</v>
      </c>
      <c r="H16" s="125">
        <v>0</v>
      </c>
      <c r="I16" s="125">
        <v>0</v>
      </c>
      <c r="J16" s="125">
        <v>0</v>
      </c>
      <c r="K16" s="125">
        <v>0</v>
      </c>
      <c r="L16" s="125">
        <v>0</v>
      </c>
      <c r="M16" s="125">
        <v>0</v>
      </c>
      <c r="N16" s="116"/>
      <c r="O16" s="116"/>
      <c r="P16" s="116"/>
      <c r="Q16" s="116"/>
      <c r="R16" s="116"/>
      <c r="S16" s="116"/>
      <c r="T16" s="116"/>
      <c r="U16" s="116"/>
      <c r="V16" s="12" t="s">
        <v>241</v>
      </c>
      <c r="W16" s="116"/>
    </row>
    <row r="17" spans="2:23" x14ac:dyDescent="0.45">
      <c r="B17" s="38"/>
      <c r="C17" s="10" t="s">
        <v>194</v>
      </c>
      <c r="D17" s="12" t="s">
        <v>251</v>
      </c>
      <c r="E17" s="125">
        <v>0</v>
      </c>
      <c r="F17" s="125">
        <v>0</v>
      </c>
      <c r="G17" s="125">
        <v>0</v>
      </c>
      <c r="H17" s="125">
        <v>0</v>
      </c>
      <c r="I17" s="125">
        <v>0</v>
      </c>
      <c r="J17" s="125">
        <v>0</v>
      </c>
      <c r="K17" s="125">
        <v>0</v>
      </c>
      <c r="L17" s="125">
        <v>0</v>
      </c>
      <c r="M17" s="125">
        <v>0</v>
      </c>
      <c r="N17" s="116"/>
      <c r="O17" s="116"/>
      <c r="P17" s="116"/>
      <c r="Q17" s="116"/>
      <c r="R17" s="116"/>
      <c r="S17" s="116"/>
      <c r="T17" s="116"/>
      <c r="U17" s="116"/>
      <c r="V17" s="12" t="s">
        <v>241</v>
      </c>
      <c r="W17" s="116"/>
    </row>
    <row r="18" spans="2:23" x14ac:dyDescent="0.45">
      <c r="B18" s="38" t="s">
        <v>252</v>
      </c>
      <c r="C18" s="10" t="s">
        <v>93</v>
      </c>
      <c r="D18" s="12" t="s">
        <v>253</v>
      </c>
      <c r="E18" s="125">
        <v>0</v>
      </c>
      <c r="F18" s="125">
        <v>0</v>
      </c>
      <c r="G18" s="125">
        <v>0</v>
      </c>
      <c r="H18" s="125">
        <v>0</v>
      </c>
      <c r="I18" s="125">
        <v>0</v>
      </c>
      <c r="J18" s="125">
        <v>0</v>
      </c>
      <c r="K18" s="125">
        <v>0</v>
      </c>
      <c r="L18" s="125">
        <v>0</v>
      </c>
      <c r="M18" s="125">
        <v>0</v>
      </c>
      <c r="N18" s="116"/>
      <c r="O18" s="116"/>
      <c r="P18" s="116"/>
      <c r="Q18" s="116"/>
      <c r="R18" s="116"/>
      <c r="S18" s="116"/>
      <c r="T18" s="116"/>
      <c r="U18" s="116"/>
      <c r="V18" s="12" t="s">
        <v>241</v>
      </c>
      <c r="W18" s="116"/>
    </row>
    <row r="19" spans="2:23" x14ac:dyDescent="0.45">
      <c r="B19" s="38"/>
      <c r="C19" s="10" t="s">
        <v>97</v>
      </c>
      <c r="D19" s="12" t="s">
        <v>254</v>
      </c>
      <c r="E19" s="125">
        <v>0</v>
      </c>
      <c r="F19" s="125">
        <v>0</v>
      </c>
      <c r="G19" s="125">
        <v>0</v>
      </c>
      <c r="H19" s="125">
        <v>0</v>
      </c>
      <c r="I19" s="125">
        <v>0</v>
      </c>
      <c r="J19" s="125">
        <v>0</v>
      </c>
      <c r="K19" s="125">
        <v>0</v>
      </c>
      <c r="L19" s="125">
        <v>0</v>
      </c>
      <c r="M19" s="125">
        <v>0</v>
      </c>
      <c r="N19" s="116"/>
      <c r="O19" s="116"/>
      <c r="P19" s="116"/>
      <c r="Q19" s="116"/>
      <c r="R19" s="116"/>
      <c r="S19" s="116"/>
      <c r="T19" s="116"/>
      <c r="U19" s="116"/>
      <c r="V19" s="12" t="s">
        <v>241</v>
      </c>
      <c r="W19" s="116"/>
    </row>
    <row r="20" spans="2:23" x14ac:dyDescent="0.45">
      <c r="B20" s="38"/>
      <c r="C20" s="10" t="s">
        <v>100</v>
      </c>
      <c r="D20" s="12" t="s">
        <v>255</v>
      </c>
      <c r="E20" s="125">
        <v>0</v>
      </c>
      <c r="F20" s="125">
        <v>0</v>
      </c>
      <c r="G20" s="125">
        <v>0</v>
      </c>
      <c r="H20" s="125">
        <v>0</v>
      </c>
      <c r="I20" s="125">
        <v>0</v>
      </c>
      <c r="J20" s="125">
        <v>0</v>
      </c>
      <c r="K20" s="125">
        <v>0</v>
      </c>
      <c r="L20" s="125">
        <v>0</v>
      </c>
      <c r="M20" s="125">
        <v>0</v>
      </c>
      <c r="N20" s="116"/>
      <c r="O20" s="116"/>
      <c r="P20" s="116"/>
      <c r="Q20" s="116"/>
      <c r="R20" s="116"/>
      <c r="S20" s="116"/>
      <c r="T20" s="116"/>
      <c r="U20" s="116"/>
      <c r="V20" s="12" t="s">
        <v>241</v>
      </c>
      <c r="W20" s="116"/>
    </row>
    <row r="21" spans="2:23" x14ac:dyDescent="0.45">
      <c r="B21" s="38"/>
      <c r="C21" s="10" t="s">
        <v>208</v>
      </c>
      <c r="D21" s="12" t="s">
        <v>256</v>
      </c>
      <c r="E21" s="125">
        <v>0</v>
      </c>
      <c r="F21" s="125">
        <v>0</v>
      </c>
      <c r="G21" s="125">
        <v>0</v>
      </c>
      <c r="H21" s="125">
        <v>0</v>
      </c>
      <c r="I21" s="125">
        <v>0</v>
      </c>
      <c r="J21" s="125">
        <v>0</v>
      </c>
      <c r="K21" s="125">
        <v>0</v>
      </c>
      <c r="L21" s="125">
        <v>0</v>
      </c>
      <c r="M21" s="125">
        <v>0</v>
      </c>
      <c r="N21" s="116"/>
      <c r="O21" s="116"/>
      <c r="P21" s="116"/>
      <c r="Q21" s="116"/>
      <c r="R21" s="116"/>
      <c r="S21" s="116"/>
      <c r="T21" s="116"/>
      <c r="U21" s="116"/>
      <c r="V21" s="12" t="s">
        <v>241</v>
      </c>
      <c r="W21" s="116"/>
    </row>
    <row r="22" spans="2:23" x14ac:dyDescent="0.45">
      <c r="B22" s="38"/>
      <c r="C22" s="10" t="s">
        <v>210</v>
      </c>
      <c r="D22" s="12" t="s">
        <v>257</v>
      </c>
      <c r="E22" s="125">
        <v>0</v>
      </c>
      <c r="F22" s="125">
        <v>0</v>
      </c>
      <c r="G22" s="125">
        <v>0</v>
      </c>
      <c r="H22" s="125">
        <v>0</v>
      </c>
      <c r="I22" s="125">
        <v>0</v>
      </c>
      <c r="J22" s="125">
        <v>0</v>
      </c>
      <c r="K22" s="125">
        <v>0</v>
      </c>
      <c r="L22" s="125">
        <v>0</v>
      </c>
      <c r="M22" s="125">
        <v>0</v>
      </c>
      <c r="N22" s="116"/>
      <c r="O22" s="116"/>
      <c r="P22" s="116"/>
      <c r="Q22" s="116"/>
      <c r="R22" s="116"/>
      <c r="S22" s="116"/>
      <c r="T22" s="116"/>
      <c r="U22" s="116"/>
      <c r="V22" s="12" t="s">
        <v>241</v>
      </c>
      <c r="W22" s="116"/>
    </row>
  </sheetData>
  <dataValidations count="1">
    <dataValidation type="custom" operator="greaterThanOrEqual" allowBlank="1" showInputMessage="1" showErrorMessage="1" error="This cell only accepts a number of &quot;NA&quot;_x000a_" sqref="E8:U22" xr:uid="{5CBEFE49-6B06-4CE1-9529-1AA0799BA8AD}">
      <formula1>OR(AND(ISNUMBER(E8), E8&gt;=0), E8 ="NA")</formula1>
    </dataValidation>
  </dataValidations>
  <pageMargins left="0.7" right="0.7" top="0.75" bottom="0.75" header="0.3" footer="0.3"/>
  <pageSetup paperSize="5" scale="40" fitToHeight="0" orientation="landscape" r:id="rId1"/>
  <headerFooter>
    <oddFooter>&amp;LSDGE 2021 WMP - &amp;A&amp;C&amp;P&amp;R&amp;D</oddFooter>
  </headerFooter>
  <customProperties>
    <customPr name="_pios_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DA92B-2D40-4EB5-AC4D-444CFBEB7AA2}">
  <sheetPr codeName="Sheet7">
    <pageSetUpPr fitToPage="1"/>
  </sheetPr>
  <dimension ref="B1:X58"/>
  <sheetViews>
    <sheetView view="pageLayout" topLeftCell="P4" zoomScale="70" zoomScaleNormal="100" zoomScalePageLayoutView="70" workbookViewId="0">
      <selection activeCell="X11" sqref="X11"/>
    </sheetView>
  </sheetViews>
  <sheetFormatPr defaultColWidth="9.265625" defaultRowHeight="14.25" outlineLevelCol="1" x14ac:dyDescent="0.45"/>
  <cols>
    <col min="1" max="1" width="5.59765625" style="8" customWidth="1"/>
    <col min="2" max="2" width="29.86328125" style="1" customWidth="1"/>
    <col min="3" max="3" width="6.86328125" style="8" customWidth="1"/>
    <col min="4" max="4" width="66.3984375" style="8" customWidth="1"/>
    <col min="5" max="5" width="12.1328125" style="8" customWidth="1"/>
    <col min="6" max="6" width="11" style="8" customWidth="1"/>
    <col min="7" max="7" width="12.59765625" style="8" customWidth="1"/>
    <col min="8" max="8" width="13.265625" style="8" customWidth="1"/>
    <col min="9" max="9" width="11" style="8" customWidth="1"/>
    <col min="10" max="12" width="11" style="8" hidden="1" customWidth="1"/>
    <col min="13" max="13" width="11.73046875" style="8" hidden="1" customWidth="1"/>
    <col min="14" max="14" width="11.73046875" style="8" customWidth="1"/>
    <col min="15" max="21" width="9.265625" style="8" customWidth="1" outlineLevel="1"/>
    <col min="22" max="22" width="7.1328125" style="8" customWidth="1" outlineLevel="1"/>
    <col min="23" max="23" width="77.59765625" style="1" customWidth="1"/>
    <col min="24" max="24" width="66.59765625" style="8" customWidth="1"/>
    <col min="25" max="16384" width="9.265625" style="8"/>
  </cols>
  <sheetData>
    <row r="1" spans="2:24" ht="14.65" thickBot="1" x14ac:dyDescent="0.5"/>
    <row r="2" spans="2:24" x14ac:dyDescent="0.45">
      <c r="B2" s="14" t="s">
        <v>0</v>
      </c>
      <c r="C2" s="19" t="str">
        <f>IF('Quarterly Submission Guide'!$D$20 = "", "",'Quarterly Submission Guide'!$D$20)</f>
        <v>SDG&amp;E</v>
      </c>
    </row>
    <row r="3" spans="2:24" x14ac:dyDescent="0.45">
      <c r="B3" s="15" t="s">
        <v>2</v>
      </c>
      <c r="C3" s="13">
        <v>6</v>
      </c>
    </row>
    <row r="4" spans="2:24" ht="14.65" thickBot="1" x14ac:dyDescent="0.5">
      <c r="B4" s="16" t="s">
        <v>4</v>
      </c>
      <c r="C4" s="30">
        <v>44232</v>
      </c>
    </row>
    <row r="5" spans="2:24" x14ac:dyDescent="0.45">
      <c r="O5" s="62" t="s">
        <v>5</v>
      </c>
    </row>
    <row r="6" spans="2:24" ht="18" customHeight="1" x14ac:dyDescent="0.45">
      <c r="B6" s="3" t="s">
        <v>258</v>
      </c>
      <c r="C6" s="2"/>
      <c r="D6" s="2"/>
      <c r="E6" s="2"/>
      <c r="F6" s="2"/>
      <c r="G6" s="2"/>
      <c r="H6" s="2"/>
      <c r="I6" s="2"/>
      <c r="J6" s="4">
        <v>1</v>
      </c>
      <c r="K6" s="4">
        <v>2</v>
      </c>
      <c r="L6" s="4">
        <v>3</v>
      </c>
      <c r="M6" s="4">
        <v>4</v>
      </c>
      <c r="N6" s="4" t="s">
        <v>1107</v>
      </c>
      <c r="O6" s="4">
        <v>1</v>
      </c>
      <c r="P6" s="4">
        <v>2</v>
      </c>
      <c r="Q6" s="4">
        <v>3</v>
      </c>
      <c r="R6" s="4">
        <v>4</v>
      </c>
      <c r="S6" s="4">
        <v>1</v>
      </c>
      <c r="T6" s="4">
        <v>2</v>
      </c>
      <c r="U6" s="4">
        <v>3</v>
      </c>
      <c r="V6" s="4">
        <v>4</v>
      </c>
      <c r="W6" s="7"/>
      <c r="X6" s="2"/>
    </row>
    <row r="7" spans="2:24" x14ac:dyDescent="0.45">
      <c r="B7" s="5" t="s">
        <v>7</v>
      </c>
      <c r="C7" s="6" t="s">
        <v>8</v>
      </c>
      <c r="D7" s="6" t="s">
        <v>104</v>
      </c>
      <c r="E7" s="180">
        <v>2015</v>
      </c>
      <c r="F7" s="180">
        <v>2016</v>
      </c>
      <c r="G7" s="180">
        <v>2017</v>
      </c>
      <c r="H7" s="180">
        <v>2018</v>
      </c>
      <c r="I7" s="180">
        <v>2019</v>
      </c>
      <c r="J7" s="180">
        <v>2020</v>
      </c>
      <c r="K7" s="180">
        <v>2020</v>
      </c>
      <c r="L7" s="180">
        <v>2020</v>
      </c>
      <c r="M7" s="180">
        <v>2020</v>
      </c>
      <c r="N7" s="180">
        <v>2020</v>
      </c>
      <c r="O7" s="6">
        <v>2021</v>
      </c>
      <c r="P7" s="6">
        <v>2021</v>
      </c>
      <c r="Q7" s="6">
        <v>2021</v>
      </c>
      <c r="R7" s="6">
        <v>2021</v>
      </c>
      <c r="S7" s="6">
        <v>2022</v>
      </c>
      <c r="T7" s="6">
        <v>2022</v>
      </c>
      <c r="U7" s="6">
        <v>2022</v>
      </c>
      <c r="V7" s="6">
        <v>2022</v>
      </c>
      <c r="W7" s="5" t="s">
        <v>10</v>
      </c>
      <c r="X7" s="6" t="s">
        <v>11</v>
      </c>
    </row>
    <row r="8" spans="2:24" ht="71.25" x14ac:dyDescent="0.45">
      <c r="B8" s="37" t="s">
        <v>259</v>
      </c>
      <c r="C8" s="9" t="s">
        <v>13</v>
      </c>
      <c r="D8" s="12" t="s">
        <v>260</v>
      </c>
      <c r="E8" s="209">
        <v>16920.133150000001</v>
      </c>
      <c r="F8" s="209">
        <v>53095.765930000001</v>
      </c>
      <c r="G8" s="209">
        <v>190384.37839999999</v>
      </c>
      <c r="H8" s="209">
        <v>125714.9822</v>
      </c>
      <c r="I8" s="269">
        <v>53465.255720000001</v>
      </c>
      <c r="J8" s="210">
        <v>0</v>
      </c>
      <c r="K8" s="210">
        <v>0</v>
      </c>
      <c r="L8" s="209">
        <v>34854.896529999998</v>
      </c>
      <c r="M8" s="209">
        <v>62067.602559999999</v>
      </c>
      <c r="N8" s="268">
        <f t="shared" ref="N8:N13" si="0">SUM(J8:M8)</f>
        <v>96922.499089999998</v>
      </c>
      <c r="O8" s="9"/>
      <c r="P8" s="9"/>
      <c r="Q8" s="9"/>
      <c r="R8" s="9"/>
      <c r="S8" s="9"/>
      <c r="T8" s="9"/>
      <c r="U8" s="9"/>
      <c r="V8" s="9"/>
      <c r="W8" s="39" t="s">
        <v>261</v>
      </c>
      <c r="X8" s="115"/>
    </row>
    <row r="9" spans="2:24" ht="18" customHeight="1" x14ac:dyDescent="0.45">
      <c r="B9" s="41"/>
      <c r="C9" s="10" t="s">
        <v>16</v>
      </c>
      <c r="D9" s="12" t="s">
        <v>262</v>
      </c>
      <c r="E9" s="209"/>
      <c r="F9" s="209"/>
      <c r="G9" s="209"/>
      <c r="H9" s="209"/>
      <c r="I9" s="269"/>
      <c r="J9" s="210"/>
      <c r="K9" s="210"/>
      <c r="L9" s="209"/>
      <c r="M9" s="209"/>
      <c r="N9" s="268">
        <f t="shared" si="0"/>
        <v>0</v>
      </c>
      <c r="O9" s="36"/>
      <c r="P9" s="36"/>
      <c r="Q9" s="36"/>
      <c r="R9" s="36"/>
      <c r="S9" s="36"/>
      <c r="T9" s="36"/>
      <c r="U9" s="36"/>
      <c r="V9" s="36"/>
      <c r="W9" s="12" t="s">
        <v>263</v>
      </c>
      <c r="X9" s="117"/>
    </row>
    <row r="10" spans="2:24" ht="19.5" customHeight="1" x14ac:dyDescent="0.45">
      <c r="B10" s="38"/>
      <c r="C10" s="10" t="s">
        <v>18</v>
      </c>
      <c r="D10" s="12" t="s">
        <v>264</v>
      </c>
      <c r="E10" s="209">
        <v>6493.7390910000004</v>
      </c>
      <c r="F10" s="209">
        <v>20031.607759999999</v>
      </c>
      <c r="G10" s="209">
        <v>55340.526230000003</v>
      </c>
      <c r="H10" s="209">
        <v>38720.270219999999</v>
      </c>
      <c r="I10" s="269">
        <v>20081.280309999998</v>
      </c>
      <c r="J10" s="210">
        <v>0</v>
      </c>
      <c r="K10" s="210">
        <v>0</v>
      </c>
      <c r="L10" s="209">
        <v>12884.4285</v>
      </c>
      <c r="M10" s="209">
        <v>23561.96154</v>
      </c>
      <c r="N10" s="268">
        <f t="shared" si="0"/>
        <v>36446.390039999998</v>
      </c>
      <c r="O10" s="10"/>
      <c r="P10" s="10"/>
      <c r="Q10" s="10"/>
      <c r="R10" s="10"/>
      <c r="S10" s="10"/>
      <c r="T10" s="10"/>
      <c r="U10" s="10"/>
      <c r="V10" s="10"/>
      <c r="W10" s="12" t="s">
        <v>263</v>
      </c>
      <c r="X10" s="116"/>
    </row>
    <row r="11" spans="2:24" ht="18.75" customHeight="1" x14ac:dyDescent="0.45">
      <c r="B11" s="38"/>
      <c r="C11" s="10" t="s">
        <v>20</v>
      </c>
      <c r="D11" s="12" t="s">
        <v>265</v>
      </c>
      <c r="E11" s="209">
        <v>3730.3462549999999</v>
      </c>
      <c r="F11" s="209">
        <v>14896.667810000001</v>
      </c>
      <c r="G11" s="209">
        <v>30730.936470000001</v>
      </c>
      <c r="H11" s="209">
        <v>22283.910520000001</v>
      </c>
      <c r="I11" s="269">
        <v>12369.04285</v>
      </c>
      <c r="J11" s="210">
        <v>0</v>
      </c>
      <c r="K11" s="210">
        <v>0</v>
      </c>
      <c r="L11" s="209">
        <v>9104.9898720000001</v>
      </c>
      <c r="M11" s="209">
        <v>14430.54999</v>
      </c>
      <c r="N11" s="268">
        <f t="shared" si="0"/>
        <v>23535.539861999998</v>
      </c>
      <c r="O11" s="10"/>
      <c r="P11" s="10"/>
      <c r="Q11" s="10"/>
      <c r="R11" s="10"/>
      <c r="S11" s="10"/>
      <c r="T11" s="10"/>
      <c r="U11" s="10"/>
      <c r="V11" s="10"/>
      <c r="W11" s="12" t="s">
        <v>263</v>
      </c>
      <c r="X11" s="116" t="s">
        <v>266</v>
      </c>
    </row>
    <row r="12" spans="2:24" ht="18.75" customHeight="1" x14ac:dyDescent="0.45">
      <c r="B12" s="38"/>
      <c r="C12" s="10" t="s">
        <v>23</v>
      </c>
      <c r="D12" s="12" t="s">
        <v>267</v>
      </c>
      <c r="E12" s="209">
        <v>6696.0478000000003</v>
      </c>
      <c r="F12" s="209">
        <v>18167.49035</v>
      </c>
      <c r="G12" s="209">
        <v>104312.9157</v>
      </c>
      <c r="H12" s="209">
        <v>64710.801500000001</v>
      </c>
      <c r="I12" s="269">
        <v>21014.932560000001</v>
      </c>
      <c r="J12" s="210">
        <v>0</v>
      </c>
      <c r="K12" s="210">
        <v>0</v>
      </c>
      <c r="L12" s="209">
        <v>12865.478160000001</v>
      </c>
      <c r="M12" s="209">
        <v>24075.091039999999</v>
      </c>
      <c r="N12" s="268">
        <f>SUM(J12:M12)</f>
        <v>36940.569199999998</v>
      </c>
      <c r="O12" s="10"/>
      <c r="P12" s="10"/>
      <c r="Q12" s="10"/>
      <c r="R12" s="10"/>
      <c r="S12" s="10"/>
      <c r="T12" s="10"/>
      <c r="U12" s="10"/>
      <c r="V12" s="10"/>
      <c r="W12" s="12" t="s">
        <v>263</v>
      </c>
      <c r="X12" s="116"/>
    </row>
    <row r="13" spans="2:24" ht="96" customHeight="1" x14ac:dyDescent="0.45">
      <c r="B13" s="38" t="s">
        <v>268</v>
      </c>
      <c r="C13" s="10" t="s">
        <v>114</v>
      </c>
      <c r="D13" s="40" t="s">
        <v>269</v>
      </c>
      <c r="E13" s="209">
        <v>51193.17914</v>
      </c>
      <c r="F13" s="209">
        <v>13749.31005</v>
      </c>
      <c r="G13" s="209">
        <v>107904.5721</v>
      </c>
      <c r="H13" s="209">
        <v>53248.998</v>
      </c>
      <c r="I13" s="269">
        <v>26826.11232</v>
      </c>
      <c r="J13" s="209">
        <v>8635.0457729999998</v>
      </c>
      <c r="K13" s="210">
        <v>0</v>
      </c>
      <c r="L13" s="210">
        <v>0</v>
      </c>
      <c r="M13" s="209">
        <v>16998.462210000002</v>
      </c>
      <c r="N13" s="268">
        <f t="shared" si="0"/>
        <v>25633.507983000003</v>
      </c>
      <c r="O13" s="10"/>
      <c r="P13" s="10"/>
      <c r="Q13" s="10"/>
      <c r="R13" s="10"/>
      <c r="S13" s="10"/>
      <c r="T13" s="10"/>
      <c r="U13" s="10"/>
      <c r="V13" s="10"/>
      <c r="W13" s="12" t="s">
        <v>270</v>
      </c>
      <c r="X13" s="116"/>
    </row>
    <row r="14" spans="2:24" x14ac:dyDescent="0.45">
      <c r="B14" s="38" t="s">
        <v>271</v>
      </c>
      <c r="C14" s="10" t="s">
        <v>93</v>
      </c>
      <c r="D14" s="12" t="s">
        <v>272</v>
      </c>
      <c r="E14" s="12"/>
      <c r="F14" s="12"/>
      <c r="G14" s="12"/>
      <c r="H14" s="12"/>
      <c r="I14" s="12"/>
      <c r="J14" s="12"/>
      <c r="K14" s="12"/>
      <c r="L14" s="12"/>
      <c r="M14" s="12"/>
      <c r="N14" s="12"/>
      <c r="O14" s="12"/>
      <c r="P14" s="12"/>
      <c r="Q14" s="10"/>
      <c r="R14" s="10"/>
      <c r="S14" s="10"/>
      <c r="T14" s="10"/>
      <c r="U14" s="10"/>
      <c r="V14" s="10"/>
      <c r="W14" s="12"/>
      <c r="X14" s="116"/>
    </row>
    <row r="15" spans="2:24" x14ac:dyDescent="0.45">
      <c r="B15" s="118"/>
      <c r="C15" s="119"/>
      <c r="D15" s="119"/>
      <c r="E15" s="119"/>
      <c r="F15" s="119"/>
      <c r="G15" s="119"/>
      <c r="H15" s="119"/>
      <c r="I15" s="119"/>
      <c r="J15" s="119"/>
      <c r="K15" s="119"/>
      <c r="L15" s="119"/>
      <c r="M15" s="119"/>
      <c r="N15" s="119"/>
      <c r="O15" s="119"/>
      <c r="P15" s="119"/>
      <c r="Q15" s="119"/>
      <c r="R15" s="119"/>
      <c r="S15" s="119"/>
      <c r="T15" s="119"/>
      <c r="U15" s="119"/>
      <c r="V15" s="119"/>
      <c r="W15" s="118"/>
      <c r="X15" s="119"/>
    </row>
    <row r="16" spans="2:24" x14ac:dyDescent="0.45">
      <c r="B16" s="118"/>
      <c r="C16" s="119"/>
      <c r="D16" s="119"/>
      <c r="E16" s="119"/>
      <c r="F16" s="119"/>
      <c r="G16" s="119"/>
      <c r="H16" s="119"/>
      <c r="I16" s="119"/>
      <c r="J16" s="119"/>
      <c r="K16" s="119"/>
      <c r="L16" s="119"/>
      <c r="M16" s="119"/>
      <c r="N16" s="119"/>
      <c r="O16" s="119"/>
      <c r="P16" s="119"/>
      <c r="Q16" s="119"/>
      <c r="R16" s="119"/>
      <c r="S16" s="119"/>
      <c r="T16" s="119"/>
      <c r="U16" s="119"/>
      <c r="V16" s="119"/>
      <c r="W16" s="118"/>
      <c r="X16" s="119"/>
    </row>
    <row r="17" spans="2:24" x14ac:dyDescent="0.45">
      <c r="B17" s="118"/>
      <c r="C17" s="119"/>
      <c r="D17" s="119"/>
      <c r="E17" s="119"/>
      <c r="F17" s="119"/>
      <c r="G17" s="119"/>
      <c r="H17" s="119"/>
      <c r="I17" s="119"/>
      <c r="J17" s="119"/>
      <c r="K17" s="119"/>
      <c r="L17" s="119"/>
      <c r="M17" s="119"/>
      <c r="N17" s="119"/>
      <c r="O17" s="119"/>
      <c r="P17" s="119"/>
      <c r="Q17" s="119"/>
      <c r="R17" s="119"/>
      <c r="S17" s="119"/>
      <c r="T17" s="119"/>
      <c r="U17" s="119"/>
      <c r="V17" s="119"/>
      <c r="W17" s="118"/>
      <c r="X17" s="119"/>
    </row>
    <row r="18" spans="2:24" x14ac:dyDescent="0.45">
      <c r="B18" s="118"/>
      <c r="C18" s="119"/>
      <c r="D18" s="119"/>
      <c r="E18" s="119"/>
      <c r="F18" s="119"/>
      <c r="G18" s="119"/>
      <c r="H18" s="119"/>
      <c r="I18" s="119"/>
      <c r="J18" s="119"/>
      <c r="K18" s="119"/>
      <c r="L18" s="119"/>
      <c r="M18" s="119"/>
      <c r="N18" s="119"/>
      <c r="O18" s="119"/>
      <c r="P18" s="119"/>
      <c r="Q18" s="119"/>
      <c r="R18" s="119"/>
      <c r="S18" s="119"/>
      <c r="T18" s="119"/>
      <c r="U18" s="119"/>
      <c r="V18" s="119"/>
      <c r="W18" s="118"/>
      <c r="X18" s="119"/>
    </row>
    <row r="19" spans="2:24" x14ac:dyDescent="0.45">
      <c r="B19" s="118"/>
      <c r="C19" s="119"/>
      <c r="D19" s="119"/>
      <c r="E19" s="119"/>
      <c r="F19" s="119"/>
      <c r="G19" s="119"/>
      <c r="H19" s="119"/>
      <c r="I19" s="119"/>
      <c r="J19" s="119"/>
      <c r="K19" s="119"/>
      <c r="L19" s="119"/>
      <c r="M19" s="119"/>
      <c r="N19" s="119"/>
      <c r="O19" s="119"/>
      <c r="P19" s="119"/>
      <c r="Q19" s="119"/>
      <c r="R19" s="119"/>
      <c r="S19" s="119"/>
      <c r="T19" s="119"/>
      <c r="U19" s="119"/>
      <c r="V19" s="119"/>
      <c r="W19" s="118"/>
      <c r="X19" s="119"/>
    </row>
    <row r="20" spans="2:24" x14ac:dyDescent="0.45">
      <c r="B20" s="118"/>
      <c r="C20" s="119"/>
      <c r="D20" s="119"/>
      <c r="E20" s="119"/>
      <c r="F20" s="119"/>
      <c r="G20" s="119"/>
      <c r="H20" s="119"/>
      <c r="I20" s="119"/>
      <c r="J20" s="119"/>
      <c r="K20" s="119"/>
      <c r="L20" s="119"/>
      <c r="M20" s="119"/>
      <c r="N20" s="119"/>
      <c r="O20" s="119"/>
      <c r="P20" s="119"/>
      <c r="Q20" s="119"/>
      <c r="R20" s="119"/>
      <c r="S20" s="119"/>
      <c r="T20" s="119"/>
      <c r="U20" s="119"/>
      <c r="V20" s="119"/>
      <c r="W20" s="118"/>
      <c r="X20" s="119"/>
    </row>
    <row r="21" spans="2:24" x14ac:dyDescent="0.45">
      <c r="B21" s="118"/>
      <c r="C21" s="119"/>
      <c r="D21" s="119"/>
      <c r="E21" s="119"/>
      <c r="F21" s="119"/>
      <c r="G21" s="119"/>
      <c r="H21" s="119"/>
      <c r="I21" s="119"/>
      <c r="J21" s="119"/>
      <c r="K21" s="119"/>
      <c r="L21" s="119"/>
      <c r="M21" s="119"/>
      <c r="N21" s="119"/>
      <c r="O21" s="119"/>
      <c r="P21" s="119"/>
      <c r="Q21" s="119"/>
      <c r="R21" s="119"/>
      <c r="S21" s="119"/>
      <c r="T21" s="119"/>
      <c r="U21" s="119"/>
      <c r="V21" s="119"/>
      <c r="W21" s="118"/>
      <c r="X21" s="119"/>
    </row>
    <row r="22" spans="2:24" x14ac:dyDescent="0.45">
      <c r="B22" s="118"/>
      <c r="C22" s="119"/>
      <c r="D22" s="119"/>
      <c r="E22" s="119"/>
      <c r="F22" s="119"/>
      <c r="G22" s="119"/>
      <c r="H22" s="119"/>
      <c r="I22" s="119"/>
      <c r="J22" s="119"/>
      <c r="K22" s="119"/>
      <c r="L22" s="119"/>
      <c r="M22" s="119"/>
      <c r="N22" s="119"/>
      <c r="O22" s="119"/>
      <c r="P22" s="119"/>
      <c r="Q22" s="119"/>
      <c r="R22" s="119"/>
      <c r="S22" s="119"/>
      <c r="T22" s="119"/>
      <c r="U22" s="119"/>
      <c r="V22" s="119"/>
      <c r="W22" s="118"/>
      <c r="X22" s="119"/>
    </row>
    <row r="23" spans="2:24" x14ac:dyDescent="0.45">
      <c r="B23" s="118"/>
      <c r="C23" s="119"/>
      <c r="D23" s="119"/>
      <c r="E23" s="119"/>
      <c r="F23" s="119"/>
      <c r="G23" s="119"/>
      <c r="H23" s="119"/>
      <c r="I23" s="119"/>
      <c r="J23" s="119"/>
      <c r="K23" s="119"/>
      <c r="L23" s="119"/>
      <c r="M23" s="119"/>
      <c r="N23" s="119"/>
      <c r="O23" s="119"/>
      <c r="P23" s="119"/>
      <c r="Q23" s="119"/>
      <c r="R23" s="119"/>
      <c r="S23" s="119"/>
      <c r="T23" s="119"/>
      <c r="U23" s="119"/>
      <c r="V23" s="119"/>
      <c r="W23" s="118"/>
      <c r="X23" s="119"/>
    </row>
    <row r="24" spans="2:24" x14ac:dyDescent="0.45">
      <c r="B24" s="118"/>
      <c r="C24" s="119"/>
      <c r="D24" s="119"/>
      <c r="E24" s="119"/>
      <c r="F24" s="119"/>
      <c r="G24" s="119"/>
      <c r="H24" s="119"/>
      <c r="I24" s="119"/>
      <c r="J24" s="119"/>
      <c r="K24" s="119"/>
      <c r="L24" s="119"/>
      <c r="M24" s="119"/>
      <c r="N24" s="119"/>
      <c r="O24" s="119"/>
      <c r="P24" s="119"/>
      <c r="Q24" s="119"/>
      <c r="R24" s="119"/>
      <c r="S24" s="119"/>
      <c r="T24" s="119"/>
      <c r="U24" s="119"/>
      <c r="V24" s="119"/>
      <c r="W24" s="118"/>
      <c r="X24" s="119"/>
    </row>
    <row r="25" spans="2:24" x14ac:dyDescent="0.45">
      <c r="B25" s="118"/>
      <c r="C25" s="119"/>
      <c r="D25" s="119"/>
      <c r="E25" s="119"/>
      <c r="F25" s="119"/>
      <c r="G25" s="119"/>
      <c r="H25" s="119"/>
      <c r="I25" s="119"/>
      <c r="J25" s="119"/>
      <c r="K25" s="119"/>
      <c r="L25" s="119"/>
      <c r="M25" s="119"/>
      <c r="N25" s="119"/>
      <c r="O25" s="119"/>
      <c r="P25" s="119"/>
      <c r="Q25" s="119"/>
      <c r="R25" s="119"/>
      <c r="S25" s="119"/>
      <c r="T25" s="119"/>
      <c r="U25" s="119"/>
      <c r="V25" s="119"/>
      <c r="W25" s="118"/>
      <c r="X25" s="119"/>
    </row>
    <row r="26" spans="2:24" x14ac:dyDescent="0.45">
      <c r="B26" s="118"/>
      <c r="C26" s="119"/>
      <c r="D26" s="119"/>
      <c r="E26" s="119"/>
      <c r="F26" s="119"/>
      <c r="G26" s="119"/>
      <c r="H26" s="119"/>
      <c r="I26" s="119"/>
      <c r="J26" s="119"/>
      <c r="K26" s="119"/>
      <c r="L26" s="119"/>
      <c r="M26" s="119"/>
      <c r="N26" s="119"/>
      <c r="O26" s="119"/>
      <c r="P26" s="119"/>
      <c r="Q26" s="119"/>
      <c r="R26" s="119"/>
      <c r="S26" s="119"/>
      <c r="T26" s="119"/>
      <c r="U26" s="119"/>
      <c r="V26" s="119"/>
      <c r="W26" s="118"/>
      <c r="X26" s="119"/>
    </row>
    <row r="27" spans="2:24" x14ac:dyDescent="0.45">
      <c r="B27" s="118"/>
      <c r="C27" s="119"/>
      <c r="D27" s="119"/>
      <c r="E27" s="119"/>
      <c r="F27" s="119"/>
      <c r="G27" s="119"/>
      <c r="H27" s="119"/>
      <c r="I27" s="119"/>
      <c r="J27" s="119"/>
      <c r="K27" s="119"/>
      <c r="L27" s="119"/>
      <c r="M27" s="119"/>
      <c r="N27" s="119"/>
      <c r="O27" s="119"/>
      <c r="P27" s="119"/>
      <c r="Q27" s="119"/>
      <c r="R27" s="119"/>
      <c r="S27" s="119"/>
      <c r="T27" s="119"/>
      <c r="U27" s="119"/>
      <c r="V27" s="119"/>
      <c r="W27" s="118"/>
      <c r="X27" s="119"/>
    </row>
    <row r="28" spans="2:24" x14ac:dyDescent="0.45">
      <c r="B28" s="118"/>
      <c r="C28" s="119"/>
      <c r="D28" s="119"/>
      <c r="E28" s="119"/>
      <c r="F28" s="119"/>
      <c r="G28" s="119"/>
      <c r="H28" s="119"/>
      <c r="I28" s="119"/>
      <c r="J28" s="119"/>
      <c r="K28" s="119"/>
      <c r="L28" s="119"/>
      <c r="M28" s="119"/>
      <c r="N28" s="119"/>
      <c r="O28" s="119"/>
      <c r="P28" s="119"/>
      <c r="Q28" s="119"/>
      <c r="R28" s="119"/>
      <c r="S28" s="119"/>
      <c r="T28" s="119"/>
      <c r="U28" s="119"/>
      <c r="V28" s="119"/>
      <c r="W28" s="118"/>
      <c r="X28" s="119"/>
    </row>
    <row r="29" spans="2:24" x14ac:dyDescent="0.45">
      <c r="B29" s="118"/>
      <c r="C29" s="119"/>
      <c r="D29" s="119"/>
      <c r="E29" s="119"/>
      <c r="F29" s="119"/>
      <c r="G29" s="119"/>
      <c r="H29" s="119"/>
      <c r="I29" s="119"/>
      <c r="J29" s="119"/>
      <c r="K29" s="119"/>
      <c r="L29" s="119"/>
      <c r="M29" s="119"/>
      <c r="N29" s="119"/>
      <c r="O29" s="119"/>
      <c r="P29" s="119"/>
      <c r="Q29" s="119"/>
      <c r="R29" s="119"/>
      <c r="S29" s="119"/>
      <c r="T29" s="119"/>
      <c r="U29" s="119"/>
      <c r="V29" s="119"/>
      <c r="W29" s="118"/>
      <c r="X29" s="119"/>
    </row>
    <row r="30" spans="2:24" x14ac:dyDescent="0.45">
      <c r="B30" s="118"/>
      <c r="C30" s="119"/>
      <c r="D30" s="119"/>
      <c r="E30" s="119"/>
      <c r="F30" s="119"/>
      <c r="G30" s="119"/>
      <c r="H30" s="119"/>
      <c r="I30" s="119"/>
      <c r="J30" s="119"/>
      <c r="K30" s="119"/>
      <c r="L30" s="119"/>
      <c r="M30" s="119"/>
      <c r="N30" s="119"/>
      <c r="O30" s="119"/>
      <c r="P30" s="119"/>
      <c r="Q30" s="119"/>
      <c r="R30" s="119"/>
      <c r="S30" s="119"/>
      <c r="T30" s="119"/>
      <c r="U30" s="119"/>
      <c r="V30" s="119"/>
      <c r="W30" s="118"/>
      <c r="X30" s="119"/>
    </row>
    <row r="31" spans="2:24" x14ac:dyDescent="0.45">
      <c r="B31" s="118"/>
      <c r="C31" s="119"/>
      <c r="D31" s="119"/>
      <c r="E31" s="119"/>
      <c r="F31" s="119"/>
      <c r="G31" s="119"/>
      <c r="H31" s="119"/>
      <c r="I31" s="119"/>
      <c r="J31" s="119"/>
      <c r="K31" s="119"/>
      <c r="L31" s="119"/>
      <c r="M31" s="119"/>
      <c r="N31" s="119"/>
      <c r="O31" s="119"/>
      <c r="P31" s="119"/>
      <c r="Q31" s="119"/>
      <c r="R31" s="119"/>
      <c r="S31" s="119"/>
      <c r="T31" s="119"/>
      <c r="U31" s="119"/>
      <c r="V31" s="119"/>
      <c r="W31" s="118"/>
      <c r="X31" s="119"/>
    </row>
    <row r="32" spans="2:24" x14ac:dyDescent="0.45">
      <c r="B32" s="118"/>
      <c r="C32" s="119"/>
      <c r="D32" s="119"/>
      <c r="E32" s="119"/>
      <c r="F32" s="119"/>
      <c r="G32" s="119"/>
      <c r="H32" s="119"/>
      <c r="I32" s="119"/>
      <c r="J32" s="119"/>
      <c r="K32" s="119"/>
      <c r="L32" s="119"/>
      <c r="M32" s="119"/>
      <c r="N32" s="119"/>
      <c r="O32" s="119"/>
      <c r="P32" s="119"/>
      <c r="Q32" s="119"/>
      <c r="R32" s="119"/>
      <c r="S32" s="119"/>
      <c r="T32" s="119"/>
      <c r="U32" s="119"/>
      <c r="V32" s="119"/>
      <c r="W32" s="118"/>
      <c r="X32" s="119"/>
    </row>
    <row r="33" spans="2:24" x14ac:dyDescent="0.45">
      <c r="B33" s="118"/>
      <c r="C33" s="119"/>
      <c r="D33" s="119"/>
      <c r="E33" s="119"/>
      <c r="F33" s="119"/>
      <c r="G33" s="119"/>
      <c r="H33" s="119"/>
      <c r="I33" s="119"/>
      <c r="J33" s="119"/>
      <c r="K33" s="119"/>
      <c r="L33" s="119"/>
      <c r="M33" s="119"/>
      <c r="N33" s="119"/>
      <c r="O33" s="119"/>
      <c r="P33" s="119"/>
      <c r="Q33" s="119"/>
      <c r="R33" s="119"/>
      <c r="S33" s="119"/>
      <c r="T33" s="119"/>
      <c r="U33" s="119"/>
      <c r="V33" s="119"/>
      <c r="W33" s="118"/>
      <c r="X33" s="119"/>
    </row>
    <row r="34" spans="2:24" x14ac:dyDescent="0.45">
      <c r="B34" s="118"/>
      <c r="C34" s="119"/>
      <c r="D34" s="119"/>
      <c r="E34" s="119"/>
      <c r="F34" s="119"/>
      <c r="G34" s="119"/>
      <c r="H34" s="119"/>
      <c r="I34" s="119"/>
      <c r="J34" s="119"/>
      <c r="K34" s="119"/>
      <c r="L34" s="119"/>
      <c r="M34" s="119"/>
      <c r="N34" s="119"/>
      <c r="O34" s="119"/>
      <c r="P34" s="119"/>
      <c r="Q34" s="119"/>
      <c r="R34" s="119"/>
      <c r="S34" s="119"/>
      <c r="T34" s="119"/>
      <c r="U34" s="119"/>
      <c r="V34" s="119"/>
      <c r="W34" s="118"/>
      <c r="X34" s="119"/>
    </row>
    <row r="35" spans="2:24" x14ac:dyDescent="0.45">
      <c r="B35" s="118"/>
      <c r="C35" s="119"/>
      <c r="D35" s="119"/>
      <c r="E35" s="119"/>
      <c r="F35" s="119"/>
      <c r="G35" s="119"/>
      <c r="H35" s="119"/>
      <c r="I35" s="119"/>
      <c r="J35" s="119"/>
      <c r="K35" s="119"/>
      <c r="L35" s="119"/>
      <c r="M35" s="119"/>
      <c r="N35" s="119"/>
      <c r="O35" s="119"/>
      <c r="P35" s="119"/>
      <c r="Q35" s="119"/>
      <c r="R35" s="119"/>
      <c r="S35" s="119"/>
      <c r="T35" s="119"/>
      <c r="U35" s="119"/>
      <c r="V35" s="119"/>
      <c r="W35" s="118"/>
      <c r="X35" s="119"/>
    </row>
    <row r="36" spans="2:24" x14ac:dyDescent="0.45">
      <c r="B36" s="118"/>
      <c r="C36" s="119"/>
      <c r="D36" s="119"/>
      <c r="E36" s="119"/>
      <c r="F36" s="119"/>
      <c r="G36" s="119"/>
      <c r="H36" s="119"/>
      <c r="I36" s="119"/>
      <c r="J36" s="119"/>
      <c r="K36" s="119"/>
      <c r="L36" s="119"/>
      <c r="M36" s="119"/>
      <c r="N36" s="119"/>
      <c r="O36" s="119"/>
      <c r="P36" s="119"/>
      <c r="Q36" s="119"/>
      <c r="R36" s="119"/>
      <c r="S36" s="119"/>
      <c r="T36" s="119"/>
      <c r="U36" s="119"/>
      <c r="V36" s="119"/>
      <c r="W36" s="118"/>
      <c r="X36" s="119"/>
    </row>
    <row r="37" spans="2:24" x14ac:dyDescent="0.45">
      <c r="B37" s="118"/>
      <c r="C37" s="119"/>
      <c r="D37" s="119"/>
      <c r="E37" s="119"/>
      <c r="F37" s="119"/>
      <c r="G37" s="119"/>
      <c r="H37" s="119"/>
      <c r="I37" s="119"/>
      <c r="J37" s="119"/>
      <c r="K37" s="119"/>
      <c r="L37" s="119"/>
      <c r="M37" s="119"/>
      <c r="N37" s="119"/>
      <c r="O37" s="119"/>
      <c r="P37" s="119"/>
      <c r="Q37" s="119"/>
      <c r="R37" s="119"/>
      <c r="S37" s="119"/>
      <c r="T37" s="119"/>
      <c r="U37" s="119"/>
      <c r="V37" s="119"/>
      <c r="W37" s="118"/>
      <c r="X37" s="119"/>
    </row>
    <row r="38" spans="2:24" x14ac:dyDescent="0.45">
      <c r="B38" s="118"/>
      <c r="C38" s="119"/>
      <c r="D38" s="119"/>
      <c r="E38" s="119"/>
      <c r="F38" s="119"/>
      <c r="G38" s="119"/>
      <c r="H38" s="119"/>
      <c r="I38" s="119"/>
      <c r="J38" s="119"/>
      <c r="K38" s="119"/>
      <c r="L38" s="119"/>
      <c r="M38" s="119"/>
      <c r="N38" s="119"/>
      <c r="O38" s="119"/>
      <c r="P38" s="119"/>
      <c r="Q38" s="119"/>
      <c r="R38" s="119"/>
      <c r="S38" s="119"/>
      <c r="T38" s="119"/>
      <c r="U38" s="119"/>
      <c r="V38" s="119"/>
      <c r="W38" s="118"/>
      <c r="X38" s="119"/>
    </row>
    <row r="39" spans="2:24" x14ac:dyDescent="0.45">
      <c r="B39" s="118"/>
      <c r="C39" s="119"/>
      <c r="D39" s="119"/>
      <c r="E39" s="119"/>
      <c r="F39" s="119"/>
      <c r="G39" s="119"/>
      <c r="H39" s="119"/>
      <c r="I39" s="119"/>
      <c r="J39" s="119"/>
      <c r="K39" s="119"/>
      <c r="L39" s="119"/>
      <c r="M39" s="119"/>
      <c r="N39" s="119"/>
      <c r="O39" s="119"/>
      <c r="P39" s="119"/>
      <c r="Q39" s="119"/>
      <c r="R39" s="119"/>
      <c r="S39" s="119"/>
      <c r="T39" s="119"/>
      <c r="U39" s="119"/>
      <c r="V39" s="119"/>
      <c r="W39" s="118"/>
      <c r="X39" s="119"/>
    </row>
    <row r="40" spans="2:24" x14ac:dyDescent="0.45">
      <c r="B40" s="118"/>
      <c r="C40" s="119"/>
      <c r="D40" s="119"/>
      <c r="E40" s="119"/>
      <c r="F40" s="119"/>
      <c r="G40" s="119"/>
      <c r="H40" s="119"/>
      <c r="I40" s="119"/>
      <c r="J40" s="119"/>
      <c r="K40" s="119"/>
      <c r="L40" s="119"/>
      <c r="M40" s="119"/>
      <c r="N40" s="119"/>
      <c r="O40" s="119"/>
      <c r="P40" s="119"/>
      <c r="Q40" s="119"/>
      <c r="R40" s="119"/>
      <c r="S40" s="119"/>
      <c r="T40" s="119"/>
      <c r="U40" s="119"/>
      <c r="V40" s="119"/>
      <c r="W40" s="118"/>
      <c r="X40" s="119"/>
    </row>
    <row r="41" spans="2:24" x14ac:dyDescent="0.45">
      <c r="B41" s="118"/>
      <c r="C41" s="119"/>
      <c r="D41" s="119"/>
      <c r="E41" s="119"/>
      <c r="F41" s="119"/>
      <c r="G41" s="119"/>
      <c r="H41" s="119"/>
      <c r="I41" s="119"/>
      <c r="J41" s="119"/>
      <c r="K41" s="119"/>
      <c r="L41" s="119"/>
      <c r="M41" s="119"/>
      <c r="N41" s="119"/>
      <c r="O41" s="119"/>
      <c r="P41" s="119"/>
      <c r="Q41" s="119"/>
      <c r="R41" s="119"/>
      <c r="S41" s="119"/>
      <c r="T41" s="119"/>
      <c r="U41" s="119"/>
      <c r="V41" s="119"/>
      <c r="W41" s="118"/>
      <c r="X41" s="119"/>
    </row>
    <row r="42" spans="2:24" x14ac:dyDescent="0.45">
      <c r="B42" s="118"/>
      <c r="C42" s="119"/>
      <c r="D42" s="119"/>
      <c r="E42" s="119"/>
      <c r="F42" s="119"/>
      <c r="G42" s="119"/>
      <c r="H42" s="119"/>
      <c r="I42" s="119"/>
      <c r="J42" s="119"/>
      <c r="K42" s="119"/>
      <c r="L42" s="119"/>
      <c r="M42" s="119"/>
      <c r="N42" s="119"/>
      <c r="O42" s="119"/>
      <c r="P42" s="119"/>
      <c r="Q42" s="119"/>
      <c r="R42" s="119"/>
      <c r="S42" s="119"/>
      <c r="T42" s="119"/>
      <c r="U42" s="119"/>
      <c r="V42" s="119"/>
      <c r="W42" s="118"/>
      <c r="X42" s="119"/>
    </row>
    <row r="43" spans="2:24" x14ac:dyDescent="0.45">
      <c r="B43" s="118"/>
      <c r="C43" s="119"/>
      <c r="D43" s="119"/>
      <c r="E43" s="119"/>
      <c r="F43" s="119"/>
      <c r="G43" s="119"/>
      <c r="H43" s="119"/>
      <c r="I43" s="119"/>
      <c r="J43" s="119"/>
      <c r="K43" s="119"/>
      <c r="L43" s="119"/>
      <c r="M43" s="119"/>
      <c r="N43" s="119"/>
      <c r="O43" s="119"/>
      <c r="P43" s="119"/>
      <c r="Q43" s="119"/>
      <c r="R43" s="119"/>
      <c r="S43" s="119"/>
      <c r="T43" s="119"/>
      <c r="U43" s="119"/>
      <c r="V43" s="119"/>
      <c r="W43" s="118"/>
      <c r="X43" s="119"/>
    </row>
    <row r="44" spans="2:24" x14ac:dyDescent="0.45">
      <c r="B44" s="118"/>
      <c r="C44" s="119"/>
      <c r="D44" s="119"/>
      <c r="E44" s="119"/>
      <c r="F44" s="119"/>
      <c r="G44" s="119"/>
      <c r="H44" s="119"/>
      <c r="I44" s="119"/>
      <c r="J44" s="119"/>
      <c r="K44" s="119"/>
      <c r="L44" s="119"/>
      <c r="M44" s="119"/>
      <c r="N44" s="119"/>
      <c r="O44" s="119"/>
      <c r="P44" s="119"/>
      <c r="Q44" s="119"/>
      <c r="R44" s="119"/>
      <c r="S44" s="119"/>
      <c r="T44" s="119"/>
      <c r="U44" s="119"/>
      <c r="V44" s="119"/>
      <c r="W44" s="118"/>
      <c r="X44" s="119"/>
    </row>
    <row r="45" spans="2:24" x14ac:dyDescent="0.45">
      <c r="B45" s="118"/>
      <c r="C45" s="119"/>
      <c r="D45" s="119"/>
      <c r="E45" s="119"/>
      <c r="F45" s="119"/>
      <c r="G45" s="119"/>
      <c r="H45" s="119"/>
      <c r="I45" s="119"/>
      <c r="J45" s="119"/>
      <c r="K45" s="119"/>
      <c r="L45" s="119"/>
      <c r="M45" s="119"/>
      <c r="N45" s="119"/>
      <c r="O45" s="119"/>
      <c r="P45" s="119"/>
      <c r="Q45" s="119"/>
      <c r="R45" s="119"/>
      <c r="S45" s="119"/>
      <c r="T45" s="119"/>
      <c r="U45" s="119"/>
      <c r="V45" s="119"/>
      <c r="W45" s="118"/>
      <c r="X45" s="119"/>
    </row>
    <row r="46" spans="2:24" x14ac:dyDescent="0.45">
      <c r="B46" s="118"/>
      <c r="C46" s="119"/>
      <c r="D46" s="119"/>
      <c r="E46" s="119"/>
      <c r="F46" s="119"/>
      <c r="G46" s="119"/>
      <c r="H46" s="119"/>
      <c r="I46" s="119"/>
      <c r="J46" s="119"/>
      <c r="K46" s="119"/>
      <c r="L46" s="119"/>
      <c r="M46" s="119"/>
      <c r="N46" s="119"/>
      <c r="O46" s="119"/>
      <c r="P46" s="119"/>
      <c r="Q46" s="119"/>
      <c r="R46" s="119"/>
      <c r="S46" s="119"/>
      <c r="T46" s="119"/>
      <c r="U46" s="119"/>
      <c r="V46" s="119"/>
      <c r="W46" s="118"/>
      <c r="X46" s="119"/>
    </row>
    <row r="47" spans="2:24" x14ac:dyDescent="0.45">
      <c r="B47" s="118"/>
      <c r="C47" s="119"/>
      <c r="D47" s="119"/>
      <c r="E47" s="119"/>
      <c r="F47" s="119"/>
      <c r="G47" s="119"/>
      <c r="H47" s="119"/>
      <c r="I47" s="119"/>
      <c r="J47" s="119"/>
      <c r="K47" s="119"/>
      <c r="L47" s="119"/>
      <c r="M47" s="119"/>
      <c r="N47" s="119"/>
      <c r="O47" s="119"/>
      <c r="P47" s="119"/>
      <c r="Q47" s="119"/>
      <c r="R47" s="119"/>
      <c r="S47" s="119"/>
      <c r="T47" s="119"/>
      <c r="U47" s="119"/>
      <c r="V47" s="119"/>
      <c r="W47" s="118"/>
      <c r="X47" s="119"/>
    </row>
    <row r="48" spans="2:24" x14ac:dyDescent="0.45">
      <c r="B48" s="118"/>
      <c r="C48" s="119"/>
      <c r="D48" s="119"/>
      <c r="E48" s="119"/>
      <c r="F48" s="119"/>
      <c r="G48" s="119"/>
      <c r="H48" s="119"/>
      <c r="I48" s="119"/>
      <c r="J48" s="119"/>
      <c r="K48" s="119"/>
      <c r="L48" s="119"/>
      <c r="M48" s="119"/>
      <c r="N48" s="119"/>
      <c r="O48" s="119"/>
      <c r="P48" s="119"/>
      <c r="Q48" s="119"/>
      <c r="R48" s="119"/>
      <c r="S48" s="119"/>
      <c r="T48" s="119"/>
      <c r="U48" s="119"/>
      <c r="V48" s="119"/>
      <c r="W48" s="118"/>
      <c r="X48" s="119"/>
    </row>
    <row r="49" spans="2:24" x14ac:dyDescent="0.45">
      <c r="B49" s="118"/>
      <c r="C49" s="119"/>
      <c r="D49" s="119"/>
      <c r="E49" s="119"/>
      <c r="F49" s="119"/>
      <c r="G49" s="119"/>
      <c r="H49" s="119"/>
      <c r="I49" s="119"/>
      <c r="J49" s="119"/>
      <c r="K49" s="119"/>
      <c r="L49" s="119"/>
      <c r="M49" s="119"/>
      <c r="N49" s="119"/>
      <c r="O49" s="119"/>
      <c r="P49" s="119"/>
      <c r="Q49" s="119"/>
      <c r="R49" s="119"/>
      <c r="S49" s="119"/>
      <c r="T49" s="119"/>
      <c r="U49" s="119"/>
      <c r="V49" s="119"/>
      <c r="W49" s="118"/>
      <c r="X49" s="119"/>
    </row>
    <row r="50" spans="2:24" x14ac:dyDescent="0.45">
      <c r="B50" s="118"/>
      <c r="C50" s="119"/>
      <c r="D50" s="119"/>
      <c r="E50" s="119"/>
      <c r="F50" s="119"/>
      <c r="G50" s="119"/>
      <c r="H50" s="119"/>
      <c r="I50" s="119"/>
      <c r="J50" s="119"/>
      <c r="K50" s="119"/>
      <c r="L50" s="119"/>
      <c r="M50" s="119"/>
      <c r="N50" s="119"/>
      <c r="O50" s="119"/>
      <c r="P50" s="119"/>
      <c r="Q50" s="119"/>
      <c r="R50" s="119"/>
      <c r="S50" s="119"/>
      <c r="T50" s="119"/>
      <c r="U50" s="119"/>
      <c r="V50" s="119"/>
      <c r="W50" s="118"/>
      <c r="X50" s="119"/>
    </row>
    <row r="51" spans="2:24" x14ac:dyDescent="0.45">
      <c r="B51" s="118"/>
      <c r="C51" s="119"/>
      <c r="D51" s="119"/>
      <c r="E51" s="119"/>
      <c r="F51" s="119"/>
      <c r="G51" s="119"/>
      <c r="H51" s="119"/>
      <c r="I51" s="119"/>
      <c r="J51" s="119"/>
      <c r="K51" s="119"/>
      <c r="L51" s="119"/>
      <c r="M51" s="119"/>
      <c r="N51" s="119"/>
      <c r="O51" s="119"/>
      <c r="P51" s="119"/>
      <c r="Q51" s="119"/>
      <c r="R51" s="119"/>
      <c r="S51" s="119"/>
      <c r="T51" s="119"/>
      <c r="U51" s="119"/>
      <c r="V51" s="119"/>
      <c r="W51" s="118"/>
      <c r="X51" s="119"/>
    </row>
    <row r="52" spans="2:24" x14ac:dyDescent="0.45">
      <c r="B52" s="118"/>
      <c r="C52" s="119"/>
      <c r="D52" s="119"/>
      <c r="E52" s="119"/>
      <c r="F52" s="119"/>
      <c r="G52" s="119"/>
      <c r="H52" s="119"/>
      <c r="I52" s="119"/>
      <c r="J52" s="119"/>
      <c r="K52" s="119"/>
      <c r="L52" s="119"/>
      <c r="M52" s="119"/>
      <c r="N52" s="119"/>
      <c r="O52" s="119"/>
      <c r="P52" s="119"/>
      <c r="Q52" s="119"/>
      <c r="R52" s="119"/>
      <c r="S52" s="119"/>
      <c r="T52" s="119"/>
      <c r="U52" s="119"/>
      <c r="V52" s="119"/>
      <c r="W52" s="118"/>
      <c r="X52" s="119"/>
    </row>
    <row r="53" spans="2:24" x14ac:dyDescent="0.45">
      <c r="X53" s="119"/>
    </row>
    <row r="54" spans="2:24" x14ac:dyDescent="0.45">
      <c r="X54" s="119"/>
    </row>
    <row r="55" spans="2:24" x14ac:dyDescent="0.45">
      <c r="X55" s="119"/>
    </row>
    <row r="56" spans="2:24" x14ac:dyDescent="0.45">
      <c r="X56" s="119"/>
    </row>
    <row r="57" spans="2:24" x14ac:dyDescent="0.45">
      <c r="X57" s="119"/>
    </row>
    <row r="58" spans="2:24" x14ac:dyDescent="0.45">
      <c r="X58" s="119"/>
    </row>
  </sheetData>
  <dataValidations count="1">
    <dataValidation type="custom" operator="greaterThanOrEqual" allowBlank="1" showInputMessage="1" showErrorMessage="1" error="This cell only accepts a number of &quot;NA&quot;_x000a_" sqref="E8:L13 O8:V13 M13:N13 M8:M11 N8:N12" xr:uid="{5705F13F-41B2-4ABD-99C2-CF76F7A0F75D}">
      <formula1>OR(AND(ISNUMBER(E8), E8&gt;=0), E8 ="NA")</formula1>
    </dataValidation>
  </dataValidations>
  <pageMargins left="0.7" right="0.7" top="0.75" bottom="0.75" header="0.3" footer="0.3"/>
  <pageSetup paperSize="5" scale="39" fitToHeight="0" orientation="landscape" r:id="rId1"/>
  <headerFooter>
    <oddFooter>&amp;LSDGE 2021 WMP - &amp;A&amp;C&amp;P&amp;R&amp;D</oddFooter>
  </headerFooter>
  <customProperties>
    <customPr name="_pios_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791A-2E9B-4322-8126-E177355D8F55}">
  <sheetPr codeName="Sheet8">
    <pageSetUpPr fitToPage="1"/>
  </sheetPr>
  <dimension ref="A1:EL151"/>
  <sheetViews>
    <sheetView view="pageLayout" topLeftCell="B4" zoomScale="70" zoomScaleNormal="70" zoomScaleSheetLayoutView="25" zoomScalePageLayoutView="70" workbookViewId="0">
      <selection activeCell="B6" sqref="B6"/>
    </sheetView>
  </sheetViews>
  <sheetFormatPr defaultColWidth="9.265625" defaultRowHeight="14.25" outlineLevelCol="1" x14ac:dyDescent="0.45"/>
  <cols>
    <col min="1" max="1" width="5.59765625" style="8" customWidth="1"/>
    <col min="2" max="2" width="34.86328125" style="8" customWidth="1"/>
    <col min="3" max="3" width="41.265625" style="1" bestFit="1" customWidth="1"/>
    <col min="4" max="4" width="6.73046875" style="8" customWidth="1"/>
    <col min="5" max="5" width="55.86328125" style="8" customWidth="1"/>
    <col min="6" max="6" width="14" style="8" customWidth="1"/>
    <col min="7" max="16" width="8.1328125" style="8" customWidth="1"/>
    <col min="17" max="24" width="9.265625" style="8" customWidth="1" outlineLevel="1"/>
    <col min="25" max="25" width="30.265625" style="1" customWidth="1"/>
    <col min="26" max="26" width="34.73046875" style="8" customWidth="1"/>
    <col min="27" max="16384" width="9.265625" style="8"/>
  </cols>
  <sheetData>
    <row r="1" spans="1:26" ht="14.65" thickBot="1" x14ac:dyDescent="0.5"/>
    <row r="2" spans="1:26" x14ac:dyDescent="0.45">
      <c r="B2" s="14" t="s">
        <v>0</v>
      </c>
      <c r="C2" s="19" t="str">
        <f>IF('Quarterly Submission Guide'!$D$20 = "", "",'Quarterly Submission Guide'!$D$20)</f>
        <v>SDG&amp;E</v>
      </c>
      <c r="D2" s="58" t="s">
        <v>1</v>
      </c>
    </row>
    <row r="3" spans="1:26" x14ac:dyDescent="0.45">
      <c r="B3" s="15" t="s">
        <v>2</v>
      </c>
      <c r="C3" s="13">
        <v>7.1</v>
      </c>
      <c r="D3" s="59" t="s">
        <v>3</v>
      </c>
    </row>
    <row r="4" spans="1:26" ht="14.65" thickBot="1" x14ac:dyDescent="0.5">
      <c r="B4" s="16" t="s">
        <v>4</v>
      </c>
      <c r="C4" s="30">
        <v>44232</v>
      </c>
      <c r="D4" s="57" t="s">
        <v>325</v>
      </c>
    </row>
    <row r="5" spans="1:26" x14ac:dyDescent="0.45">
      <c r="B5" s="1"/>
      <c r="C5" s="8"/>
      <c r="G5" s="42" t="s">
        <v>326</v>
      </c>
      <c r="H5" s="42"/>
      <c r="I5" s="42"/>
      <c r="J5" s="42"/>
      <c r="K5" s="42"/>
      <c r="L5" s="42"/>
      <c r="M5" s="42"/>
      <c r="N5" s="42"/>
      <c r="O5" s="42"/>
      <c r="P5" s="42"/>
      <c r="Q5" s="43" t="s">
        <v>327</v>
      </c>
      <c r="R5" s="43"/>
      <c r="S5" s="43"/>
      <c r="T5" s="43"/>
      <c r="U5" s="43"/>
      <c r="V5" s="43"/>
      <c r="W5" s="43"/>
      <c r="X5" s="43"/>
    </row>
    <row r="6" spans="1:26" ht="18" customHeight="1" x14ac:dyDescent="0.45">
      <c r="B6" s="3" t="s">
        <v>328</v>
      </c>
      <c r="C6" s="2"/>
      <c r="D6" s="2"/>
      <c r="F6" s="2"/>
      <c r="G6" s="2"/>
      <c r="H6" s="2"/>
      <c r="I6" s="2"/>
      <c r="J6" s="2"/>
      <c r="K6" s="2"/>
      <c r="L6" s="4">
        <v>1</v>
      </c>
      <c r="M6" s="4">
        <v>2</v>
      </c>
      <c r="N6" s="4">
        <v>3</v>
      </c>
      <c r="O6" s="4">
        <v>4</v>
      </c>
      <c r="P6" s="4" t="s">
        <v>1107</v>
      </c>
      <c r="Q6" s="4">
        <v>1</v>
      </c>
      <c r="R6" s="4">
        <v>2</v>
      </c>
      <c r="S6" s="4">
        <v>3</v>
      </c>
      <c r="T6" s="4">
        <v>4</v>
      </c>
      <c r="U6" s="4">
        <v>1</v>
      </c>
      <c r="V6" s="4">
        <v>2</v>
      </c>
      <c r="W6" s="4">
        <v>3</v>
      </c>
      <c r="X6" s="4">
        <v>4</v>
      </c>
      <c r="Y6" s="7"/>
      <c r="Z6" s="2"/>
    </row>
    <row r="7" spans="1:26" s="195" customFormat="1" ht="57" x14ac:dyDescent="0.45">
      <c r="B7" s="196" t="s">
        <v>329</v>
      </c>
      <c r="C7" s="196" t="s">
        <v>330</v>
      </c>
      <c r="D7" s="196" t="s">
        <v>8</v>
      </c>
      <c r="E7" s="196" t="s">
        <v>331</v>
      </c>
      <c r="F7" s="196" t="s">
        <v>332</v>
      </c>
      <c r="G7" s="196">
        <v>2015</v>
      </c>
      <c r="H7" s="196">
        <v>2016</v>
      </c>
      <c r="I7" s="196">
        <v>2017</v>
      </c>
      <c r="J7" s="196">
        <v>2018</v>
      </c>
      <c r="K7" s="196">
        <v>2019</v>
      </c>
      <c r="L7" s="196">
        <v>2020</v>
      </c>
      <c r="M7" s="196">
        <v>2020</v>
      </c>
      <c r="N7" s="196">
        <v>2020</v>
      </c>
      <c r="O7" s="196">
        <v>2020</v>
      </c>
      <c r="P7" s="196">
        <v>2020</v>
      </c>
      <c r="Q7" s="196">
        <v>2021</v>
      </c>
      <c r="R7" s="196">
        <v>2021</v>
      </c>
      <c r="S7" s="196">
        <v>2021</v>
      </c>
      <c r="T7" s="196">
        <v>2021</v>
      </c>
      <c r="U7" s="196">
        <v>2022</v>
      </c>
      <c r="V7" s="196">
        <v>2022</v>
      </c>
      <c r="W7" s="196">
        <v>2022</v>
      </c>
      <c r="X7" s="196">
        <v>2022</v>
      </c>
      <c r="Y7" s="196" t="s">
        <v>10</v>
      </c>
      <c r="Z7" s="196" t="s">
        <v>11</v>
      </c>
    </row>
    <row r="8" spans="1:26" x14ac:dyDescent="0.45">
      <c r="A8" s="170" t="s">
        <v>333</v>
      </c>
      <c r="B8" s="171" t="s">
        <v>334</v>
      </c>
      <c r="C8" s="171" t="s">
        <v>335</v>
      </c>
      <c r="D8" s="173" t="s">
        <v>13</v>
      </c>
      <c r="E8" s="172" t="s">
        <v>336</v>
      </c>
      <c r="F8" s="111" t="s">
        <v>273</v>
      </c>
      <c r="G8" s="112">
        <v>11</v>
      </c>
      <c r="H8" s="112">
        <v>25</v>
      </c>
      <c r="I8" s="112">
        <v>32</v>
      </c>
      <c r="J8" s="112">
        <v>15</v>
      </c>
      <c r="K8" s="270">
        <v>18</v>
      </c>
      <c r="L8" s="112">
        <v>3</v>
      </c>
      <c r="M8" s="112">
        <v>4</v>
      </c>
      <c r="N8" s="112">
        <v>2</v>
      </c>
      <c r="O8" s="112">
        <v>4</v>
      </c>
      <c r="P8" s="272">
        <f>SUM(L8:O8)</f>
        <v>13</v>
      </c>
      <c r="Q8" s="113">
        <v>4.8282030516431922</v>
      </c>
      <c r="R8" s="113">
        <v>4.8282030516431922</v>
      </c>
      <c r="S8" s="113">
        <v>4.8282030516431922</v>
      </c>
      <c r="T8" s="113">
        <v>4.8282030516431922</v>
      </c>
      <c r="U8" s="113">
        <v>4.6139929577464782</v>
      </c>
      <c r="V8" s="113">
        <v>4.6139929577464782</v>
      </c>
      <c r="W8" s="113">
        <v>4.6139929577464782</v>
      </c>
      <c r="X8" s="113">
        <v>4.6139929577464782</v>
      </c>
      <c r="Y8" s="115" t="s">
        <v>337</v>
      </c>
      <c r="Z8" s="115"/>
    </row>
    <row r="9" spans="1:26" x14ac:dyDescent="0.45">
      <c r="A9" s="170"/>
      <c r="B9" s="171"/>
      <c r="C9" s="171"/>
      <c r="D9" s="173" t="s">
        <v>16</v>
      </c>
      <c r="E9" s="172" t="s">
        <v>338</v>
      </c>
      <c r="F9" s="111" t="s">
        <v>273</v>
      </c>
      <c r="G9" s="112">
        <v>0</v>
      </c>
      <c r="H9" s="112">
        <v>8</v>
      </c>
      <c r="I9" s="112">
        <v>2</v>
      </c>
      <c r="J9" s="112">
        <v>2</v>
      </c>
      <c r="K9" s="270">
        <v>0</v>
      </c>
      <c r="L9" s="114">
        <v>1</v>
      </c>
      <c r="M9" s="114">
        <v>1</v>
      </c>
      <c r="N9" s="114">
        <v>1</v>
      </c>
      <c r="O9" s="114">
        <v>0</v>
      </c>
      <c r="P9" s="272">
        <f t="shared" ref="P9:P72" si="0">SUM(L9:O9)</f>
        <v>3</v>
      </c>
      <c r="Q9" s="114">
        <v>0.59233503836317136</v>
      </c>
      <c r="R9" s="114">
        <v>0.59233503836317136</v>
      </c>
      <c r="S9" s="114">
        <v>0.59233503836317136</v>
      </c>
      <c r="T9" s="114">
        <v>0.59233503836317136</v>
      </c>
      <c r="U9" s="114">
        <v>0.58572890025575441</v>
      </c>
      <c r="V9" s="114">
        <v>0.58572890025575441</v>
      </c>
      <c r="W9" s="114">
        <v>0.58572890025575441</v>
      </c>
      <c r="X9" s="114">
        <v>0.58572890025575441</v>
      </c>
      <c r="Y9" s="116" t="s">
        <v>337</v>
      </c>
      <c r="Z9" s="116"/>
    </row>
    <row r="10" spans="1:26" x14ac:dyDescent="0.45">
      <c r="A10" s="170"/>
      <c r="B10" s="171"/>
      <c r="C10" s="171"/>
      <c r="D10" s="173" t="s">
        <v>18</v>
      </c>
      <c r="E10" s="172" t="s">
        <v>339</v>
      </c>
      <c r="F10" s="111" t="s">
        <v>273</v>
      </c>
      <c r="G10" s="112">
        <v>1</v>
      </c>
      <c r="H10" s="112">
        <v>5</v>
      </c>
      <c r="I10" s="112">
        <v>8</v>
      </c>
      <c r="J10" s="112">
        <v>3</v>
      </c>
      <c r="K10" s="270">
        <v>5</v>
      </c>
      <c r="L10" s="114">
        <v>1</v>
      </c>
      <c r="M10" s="114">
        <v>2</v>
      </c>
      <c r="N10" s="114">
        <v>1</v>
      </c>
      <c r="O10" s="114">
        <v>1</v>
      </c>
      <c r="P10" s="272">
        <f t="shared" si="0"/>
        <v>5</v>
      </c>
      <c r="Q10" s="114">
        <v>1.0957311715481173</v>
      </c>
      <c r="R10" s="114">
        <v>1.0957311715481173</v>
      </c>
      <c r="S10" s="114">
        <v>1.0957311715481173</v>
      </c>
      <c r="T10" s="114">
        <v>1.0957311715481173</v>
      </c>
      <c r="U10" s="114">
        <v>1.0904037656903769</v>
      </c>
      <c r="V10" s="114">
        <v>1.0904037656903769</v>
      </c>
      <c r="W10" s="114">
        <v>1.0904037656903769</v>
      </c>
      <c r="X10" s="114">
        <v>1.0904037656903769</v>
      </c>
      <c r="Y10" s="116" t="s">
        <v>337</v>
      </c>
      <c r="Z10" s="116"/>
    </row>
    <row r="11" spans="1:26" x14ac:dyDescent="0.45">
      <c r="A11" s="170"/>
      <c r="B11" s="171"/>
      <c r="C11" s="171"/>
      <c r="D11" s="173" t="s">
        <v>20</v>
      </c>
      <c r="E11" s="172" t="s">
        <v>340</v>
      </c>
      <c r="F11" s="111" t="s">
        <v>273</v>
      </c>
      <c r="G11" s="112">
        <v>6</v>
      </c>
      <c r="H11" s="112">
        <v>13</v>
      </c>
      <c r="I11" s="112">
        <v>16</v>
      </c>
      <c r="J11" s="112">
        <v>21</v>
      </c>
      <c r="K11" s="270">
        <v>28</v>
      </c>
      <c r="L11" s="114">
        <v>10</v>
      </c>
      <c r="M11" s="114">
        <v>5</v>
      </c>
      <c r="N11" s="114">
        <v>7</v>
      </c>
      <c r="O11" s="114">
        <v>7</v>
      </c>
      <c r="P11" s="272">
        <f t="shared" si="0"/>
        <v>29</v>
      </c>
      <c r="Q11" s="114">
        <v>4.1844024896265557</v>
      </c>
      <c r="R11" s="114">
        <v>4.1844024896265557</v>
      </c>
      <c r="S11" s="114">
        <v>4.1844024896265557</v>
      </c>
      <c r="T11" s="114">
        <v>4.1844024896265557</v>
      </c>
      <c r="U11" s="114">
        <v>4.1713755186721988</v>
      </c>
      <c r="V11" s="114">
        <v>4.1713755186721988</v>
      </c>
      <c r="W11" s="114">
        <v>4.1713755186721988</v>
      </c>
      <c r="X11" s="114">
        <v>4.1713755186721988</v>
      </c>
      <c r="Y11" s="116" t="s">
        <v>337</v>
      </c>
      <c r="Z11" s="116"/>
    </row>
    <row r="12" spans="1:26" x14ac:dyDescent="0.45">
      <c r="A12" s="170"/>
      <c r="B12" s="171"/>
      <c r="C12" s="171"/>
      <c r="D12" s="173" t="s">
        <v>23</v>
      </c>
      <c r="E12" s="172" t="s">
        <v>341</v>
      </c>
      <c r="F12" s="111" t="s">
        <v>273</v>
      </c>
      <c r="G12" s="112">
        <v>6</v>
      </c>
      <c r="H12" s="112">
        <v>12</v>
      </c>
      <c r="I12" s="112">
        <v>7</v>
      </c>
      <c r="J12" s="112">
        <v>5</v>
      </c>
      <c r="K12" s="270">
        <v>6</v>
      </c>
      <c r="L12" s="114">
        <v>2</v>
      </c>
      <c r="M12" s="114">
        <v>0</v>
      </c>
      <c r="N12" s="114">
        <v>0</v>
      </c>
      <c r="O12" s="114">
        <v>0</v>
      </c>
      <c r="P12" s="272">
        <f t="shared" si="0"/>
        <v>2</v>
      </c>
      <c r="Q12" s="114">
        <v>1.7930124223602484</v>
      </c>
      <c r="R12" s="114">
        <v>1.7930124223602484</v>
      </c>
      <c r="S12" s="114">
        <v>1.7930124223602484</v>
      </c>
      <c r="T12" s="114">
        <v>1.7930124223602484</v>
      </c>
      <c r="U12" s="114">
        <v>1.7842919254658385</v>
      </c>
      <c r="V12" s="114">
        <v>1.7842919254658385</v>
      </c>
      <c r="W12" s="114">
        <v>1.7842919254658385</v>
      </c>
      <c r="X12" s="114">
        <v>1.7842919254658385</v>
      </c>
      <c r="Y12" s="116" t="s">
        <v>337</v>
      </c>
      <c r="Z12" s="116"/>
    </row>
    <row r="13" spans="1:26" x14ac:dyDescent="0.45">
      <c r="A13" s="170"/>
      <c r="B13" s="171"/>
      <c r="C13" s="171" t="s">
        <v>342</v>
      </c>
      <c r="D13" s="173" t="s">
        <v>114</v>
      </c>
      <c r="E13" s="172" t="s">
        <v>343</v>
      </c>
      <c r="F13" s="111" t="s">
        <v>273</v>
      </c>
      <c r="G13" s="112">
        <v>5</v>
      </c>
      <c r="H13" s="112">
        <v>0</v>
      </c>
      <c r="I13" s="112">
        <v>0</v>
      </c>
      <c r="J13" s="112">
        <v>3</v>
      </c>
      <c r="K13" s="270">
        <v>4</v>
      </c>
      <c r="L13" s="114">
        <v>3</v>
      </c>
      <c r="M13" s="114">
        <v>2</v>
      </c>
      <c r="N13" s="114">
        <v>0</v>
      </c>
      <c r="O13" s="114">
        <v>2</v>
      </c>
      <c r="P13" s="272">
        <f t="shared" si="0"/>
        <v>7</v>
      </c>
      <c r="Q13" s="114">
        <v>0.55735887096774195</v>
      </c>
      <c r="R13" s="114">
        <v>0.55735887096774195</v>
      </c>
      <c r="S13" s="114">
        <v>0.55735887096774195</v>
      </c>
      <c r="T13" s="114">
        <v>0.55735887096774195</v>
      </c>
      <c r="U13" s="114">
        <v>0.54667741935483871</v>
      </c>
      <c r="V13" s="114">
        <v>0.54667741935483871</v>
      </c>
      <c r="W13" s="114">
        <v>0.54667741935483871</v>
      </c>
      <c r="X13" s="114">
        <v>0.54667741935483871</v>
      </c>
      <c r="Y13" s="116" t="s">
        <v>337</v>
      </c>
      <c r="Z13" s="116"/>
    </row>
    <row r="14" spans="1:26" x14ac:dyDescent="0.45">
      <c r="A14" s="170"/>
      <c r="B14" s="171"/>
      <c r="C14" s="171"/>
      <c r="D14" s="173" t="s">
        <v>116</v>
      </c>
      <c r="E14" s="172" t="s">
        <v>344</v>
      </c>
      <c r="F14" s="111" t="s">
        <v>184</v>
      </c>
      <c r="G14" s="112">
        <v>0</v>
      </c>
      <c r="H14" s="112">
        <v>0</v>
      </c>
      <c r="I14" s="112">
        <v>0</v>
      </c>
      <c r="J14" s="112">
        <v>0</v>
      </c>
      <c r="K14" s="270">
        <v>0</v>
      </c>
      <c r="L14" s="114">
        <v>0</v>
      </c>
      <c r="M14" s="114">
        <v>0</v>
      </c>
      <c r="N14" s="114">
        <v>0</v>
      </c>
      <c r="O14" s="114">
        <v>0</v>
      </c>
      <c r="P14" s="272">
        <f t="shared" si="0"/>
        <v>0</v>
      </c>
      <c r="Q14" s="114">
        <v>0</v>
      </c>
      <c r="R14" s="114">
        <v>0</v>
      </c>
      <c r="S14" s="114">
        <v>0</v>
      </c>
      <c r="T14" s="114">
        <v>0</v>
      </c>
      <c r="U14" s="114">
        <v>0</v>
      </c>
      <c r="V14" s="114">
        <v>0</v>
      </c>
      <c r="W14" s="114">
        <v>0</v>
      </c>
      <c r="X14" s="114">
        <v>0</v>
      </c>
      <c r="Y14" s="116" t="s">
        <v>337</v>
      </c>
      <c r="Z14" s="116"/>
    </row>
    <row r="15" spans="1:26" x14ac:dyDescent="0.45">
      <c r="A15" s="170"/>
      <c r="B15" s="171"/>
      <c r="C15" s="171"/>
      <c r="D15" s="173" t="s">
        <v>118</v>
      </c>
      <c r="E15" s="172" t="s">
        <v>345</v>
      </c>
      <c r="F15" s="111" t="s">
        <v>273</v>
      </c>
      <c r="G15" s="112">
        <v>0</v>
      </c>
      <c r="H15" s="112">
        <v>1</v>
      </c>
      <c r="I15" s="112">
        <v>0</v>
      </c>
      <c r="J15" s="112">
        <v>1</v>
      </c>
      <c r="K15" s="270">
        <v>2</v>
      </c>
      <c r="L15" s="114">
        <v>0</v>
      </c>
      <c r="M15" s="114">
        <v>0</v>
      </c>
      <c r="N15" s="114">
        <v>1</v>
      </c>
      <c r="O15" s="114">
        <v>0</v>
      </c>
      <c r="P15" s="272">
        <f t="shared" si="0"/>
        <v>1</v>
      </c>
      <c r="Q15" s="114">
        <v>0.19196039603960394</v>
      </c>
      <c r="R15" s="114">
        <v>0.19196039603960394</v>
      </c>
      <c r="S15" s="114">
        <v>0.19196039603960394</v>
      </c>
      <c r="T15" s="114">
        <v>0.19196039603960394</v>
      </c>
      <c r="U15" s="114">
        <v>0.18976237623762374</v>
      </c>
      <c r="V15" s="114">
        <v>0.18976237623762374</v>
      </c>
      <c r="W15" s="114">
        <v>0.18976237623762374</v>
      </c>
      <c r="X15" s="114">
        <v>0.18976237623762374</v>
      </c>
      <c r="Y15" s="116" t="s">
        <v>337</v>
      </c>
      <c r="Z15" s="116"/>
    </row>
    <row r="16" spans="1:26" x14ac:dyDescent="0.45">
      <c r="A16" s="170"/>
      <c r="B16" s="171"/>
      <c r="C16" s="171"/>
      <c r="D16" s="173" t="s">
        <v>120</v>
      </c>
      <c r="E16" s="172" t="s">
        <v>346</v>
      </c>
      <c r="F16" s="111" t="s">
        <v>273</v>
      </c>
      <c r="G16" s="112">
        <v>0</v>
      </c>
      <c r="H16" s="112">
        <v>1</v>
      </c>
      <c r="I16" s="112">
        <v>0</v>
      </c>
      <c r="J16" s="112">
        <v>0</v>
      </c>
      <c r="K16" s="270">
        <v>0</v>
      </c>
      <c r="L16" s="114">
        <v>1</v>
      </c>
      <c r="M16" s="114">
        <v>0</v>
      </c>
      <c r="N16" s="114">
        <v>0</v>
      </c>
      <c r="O16" s="114">
        <v>0</v>
      </c>
      <c r="P16" s="272">
        <f t="shared" si="0"/>
        <v>1</v>
      </c>
      <c r="Q16" s="114">
        <v>4.7992647058823536E-2</v>
      </c>
      <c r="R16" s="114">
        <v>4.7992647058823536E-2</v>
      </c>
      <c r="S16" s="114">
        <v>4.7992647058823536E-2</v>
      </c>
      <c r="T16" s="114">
        <v>4.7992647058823536E-2</v>
      </c>
      <c r="U16" s="114">
        <v>4.7441176470588237E-2</v>
      </c>
      <c r="V16" s="114">
        <v>4.7441176470588237E-2</v>
      </c>
      <c r="W16" s="114">
        <v>4.7441176470588237E-2</v>
      </c>
      <c r="X16" s="114">
        <v>4.7441176470588237E-2</v>
      </c>
      <c r="Y16" s="116" t="s">
        <v>337</v>
      </c>
      <c r="Z16" s="116"/>
    </row>
    <row r="17" spans="1:26" x14ac:dyDescent="0.45">
      <c r="A17" s="170"/>
      <c r="B17" s="171"/>
      <c r="C17" s="171"/>
      <c r="D17" s="173" t="s">
        <v>194</v>
      </c>
      <c r="E17" s="172" t="s">
        <v>347</v>
      </c>
      <c r="F17" s="111" t="s">
        <v>273</v>
      </c>
      <c r="G17" s="112">
        <v>0</v>
      </c>
      <c r="H17" s="112">
        <v>1</v>
      </c>
      <c r="I17" s="112">
        <v>0</v>
      </c>
      <c r="J17" s="112">
        <v>0</v>
      </c>
      <c r="K17" s="270">
        <v>1</v>
      </c>
      <c r="L17" s="114">
        <v>0</v>
      </c>
      <c r="M17" s="114">
        <v>0</v>
      </c>
      <c r="N17" s="114">
        <v>0</v>
      </c>
      <c r="O17" s="114">
        <v>0</v>
      </c>
      <c r="P17" s="272">
        <f t="shared" si="0"/>
        <v>0</v>
      </c>
      <c r="Q17" s="114">
        <v>9.5979838709677426E-2</v>
      </c>
      <c r="R17" s="114">
        <v>9.5979838709677426E-2</v>
      </c>
      <c r="S17" s="114">
        <v>9.5979838709677426E-2</v>
      </c>
      <c r="T17" s="114">
        <v>9.5979838709677426E-2</v>
      </c>
      <c r="U17" s="114">
        <v>9.4879032258064516E-2</v>
      </c>
      <c r="V17" s="114">
        <v>9.4879032258064516E-2</v>
      </c>
      <c r="W17" s="114">
        <v>9.4879032258064516E-2</v>
      </c>
      <c r="X17" s="114">
        <v>9.4879032258064516E-2</v>
      </c>
      <c r="Y17" s="116" t="s">
        <v>337</v>
      </c>
      <c r="Z17" s="116"/>
    </row>
    <row r="18" spans="1:26" x14ac:dyDescent="0.45">
      <c r="A18" s="170"/>
      <c r="B18" s="171"/>
      <c r="C18" s="171"/>
      <c r="D18" s="173" t="s">
        <v>196</v>
      </c>
      <c r="E18" s="172" t="s">
        <v>348</v>
      </c>
      <c r="F18" s="111" t="s">
        <v>184</v>
      </c>
      <c r="G18" s="112">
        <v>0</v>
      </c>
      <c r="H18" s="112">
        <v>0</v>
      </c>
      <c r="I18" s="112">
        <v>0</v>
      </c>
      <c r="J18" s="112">
        <v>0</v>
      </c>
      <c r="K18" s="270">
        <v>0</v>
      </c>
      <c r="L18" s="114">
        <v>0</v>
      </c>
      <c r="M18" s="114">
        <v>0</v>
      </c>
      <c r="N18" s="114">
        <v>0</v>
      </c>
      <c r="O18" s="114">
        <v>0</v>
      </c>
      <c r="P18" s="272">
        <f t="shared" si="0"/>
        <v>0</v>
      </c>
      <c r="Q18" s="114">
        <v>0</v>
      </c>
      <c r="R18" s="114">
        <v>0</v>
      </c>
      <c r="S18" s="114">
        <v>0</v>
      </c>
      <c r="T18" s="114">
        <v>0</v>
      </c>
      <c r="U18" s="114">
        <v>0</v>
      </c>
      <c r="V18" s="114">
        <v>0</v>
      </c>
      <c r="W18" s="114">
        <v>0</v>
      </c>
      <c r="X18" s="114">
        <v>0</v>
      </c>
      <c r="Y18" s="116" t="s">
        <v>337</v>
      </c>
      <c r="Z18" s="116"/>
    </row>
    <row r="19" spans="1:26" x14ac:dyDescent="0.45">
      <c r="A19" s="170"/>
      <c r="B19" s="171"/>
      <c r="C19" s="171"/>
      <c r="D19" s="173" t="s">
        <v>198</v>
      </c>
      <c r="E19" s="172" t="s">
        <v>349</v>
      </c>
      <c r="F19" s="111" t="s">
        <v>184</v>
      </c>
      <c r="G19" s="112">
        <v>0</v>
      </c>
      <c r="H19" s="112">
        <v>0</v>
      </c>
      <c r="I19" s="112">
        <v>0</v>
      </c>
      <c r="J19" s="112">
        <v>0</v>
      </c>
      <c r="K19" s="270">
        <v>0</v>
      </c>
      <c r="L19" s="114">
        <v>0</v>
      </c>
      <c r="M19" s="114">
        <v>0</v>
      </c>
      <c r="N19" s="114">
        <v>0</v>
      </c>
      <c r="O19" s="114">
        <v>0</v>
      </c>
      <c r="P19" s="272">
        <f t="shared" si="0"/>
        <v>0</v>
      </c>
      <c r="Q19" s="114">
        <v>0</v>
      </c>
      <c r="R19" s="114">
        <v>0</v>
      </c>
      <c r="S19" s="114">
        <v>0</v>
      </c>
      <c r="T19" s="114">
        <v>0</v>
      </c>
      <c r="U19" s="114">
        <v>0</v>
      </c>
      <c r="V19" s="114">
        <v>0</v>
      </c>
      <c r="W19" s="114">
        <v>0</v>
      </c>
      <c r="X19" s="114">
        <v>0</v>
      </c>
      <c r="Y19" s="116" t="s">
        <v>337</v>
      </c>
      <c r="Z19" s="116"/>
    </row>
    <row r="20" spans="1:26" x14ac:dyDescent="0.45">
      <c r="A20" s="170"/>
      <c r="B20" s="171"/>
      <c r="C20" s="171"/>
      <c r="D20" s="173" t="s">
        <v>200</v>
      </c>
      <c r="E20" s="172" t="s">
        <v>350</v>
      </c>
      <c r="F20" s="111" t="s">
        <v>273</v>
      </c>
      <c r="G20" s="112">
        <v>29</v>
      </c>
      <c r="H20" s="112">
        <v>47</v>
      </c>
      <c r="I20" s="112">
        <v>32</v>
      </c>
      <c r="J20" s="112">
        <v>35</v>
      </c>
      <c r="K20" s="270">
        <v>33</v>
      </c>
      <c r="L20" s="114">
        <v>3</v>
      </c>
      <c r="M20" s="114">
        <v>3</v>
      </c>
      <c r="N20" s="114">
        <v>3</v>
      </c>
      <c r="O20" s="114">
        <v>5</v>
      </c>
      <c r="P20" s="272">
        <f t="shared" si="0"/>
        <v>14</v>
      </c>
      <c r="Q20" s="114">
        <v>8.4463206106870246</v>
      </c>
      <c r="R20" s="114">
        <v>8.4463206106870246</v>
      </c>
      <c r="S20" s="114">
        <v>8.4463206106870246</v>
      </c>
      <c r="T20" s="114">
        <v>8.4463206106870246</v>
      </c>
      <c r="U20" s="114">
        <v>8.3494198473282459</v>
      </c>
      <c r="V20" s="114">
        <v>8.3494198473282459</v>
      </c>
      <c r="W20" s="114">
        <v>8.3494198473282459</v>
      </c>
      <c r="X20" s="114">
        <v>8.3494198473282459</v>
      </c>
      <c r="Y20" s="116" t="s">
        <v>337</v>
      </c>
      <c r="Z20" s="116"/>
    </row>
    <row r="21" spans="1:26" x14ac:dyDescent="0.45">
      <c r="A21" s="170"/>
      <c r="B21" s="171"/>
      <c r="C21" s="171" t="s">
        <v>351</v>
      </c>
      <c r="D21" s="173" t="s">
        <v>93</v>
      </c>
      <c r="E21" s="172" t="s">
        <v>352</v>
      </c>
      <c r="F21" s="111" t="s">
        <v>273</v>
      </c>
      <c r="G21" s="112">
        <v>0</v>
      </c>
      <c r="H21" s="112">
        <v>1</v>
      </c>
      <c r="I21" s="112">
        <v>1</v>
      </c>
      <c r="J21" s="112">
        <v>1</v>
      </c>
      <c r="K21" s="270">
        <v>0</v>
      </c>
      <c r="L21" s="114">
        <v>0</v>
      </c>
      <c r="M21" s="114">
        <v>1</v>
      </c>
      <c r="N21" s="114">
        <v>1</v>
      </c>
      <c r="O21" s="114">
        <v>0</v>
      </c>
      <c r="P21" s="272">
        <f t="shared" si="0"/>
        <v>2</v>
      </c>
      <c r="Q21" s="114">
        <v>0.14814130434782605</v>
      </c>
      <c r="R21" s="114">
        <v>0.14814130434782605</v>
      </c>
      <c r="S21" s="114">
        <v>0.14814130434782605</v>
      </c>
      <c r="T21" s="114">
        <v>0.14814130434782605</v>
      </c>
      <c r="U21" s="114">
        <v>0.14651086956521736</v>
      </c>
      <c r="V21" s="114">
        <v>0.14651086956521736</v>
      </c>
      <c r="W21" s="114">
        <v>0.14651086956521736</v>
      </c>
      <c r="X21" s="114">
        <v>0.14651086956521736</v>
      </c>
      <c r="Y21" s="116" t="s">
        <v>337</v>
      </c>
      <c r="Z21" s="116"/>
    </row>
    <row r="22" spans="1:26" x14ac:dyDescent="0.45">
      <c r="A22" s="170"/>
      <c r="B22" s="171"/>
      <c r="C22" s="171" t="s">
        <v>353</v>
      </c>
      <c r="D22" s="173" t="s">
        <v>135</v>
      </c>
      <c r="E22" s="172" t="s">
        <v>354</v>
      </c>
      <c r="F22" s="111" t="s">
        <v>273</v>
      </c>
      <c r="G22" s="112">
        <v>0</v>
      </c>
      <c r="H22" s="112">
        <v>0</v>
      </c>
      <c r="I22" s="112">
        <v>0</v>
      </c>
      <c r="J22" s="112">
        <v>0</v>
      </c>
      <c r="K22" s="270">
        <v>0</v>
      </c>
      <c r="L22" s="114">
        <v>0</v>
      </c>
      <c r="M22" s="114">
        <v>0</v>
      </c>
      <c r="N22" s="114">
        <v>0</v>
      </c>
      <c r="O22" s="114">
        <v>0</v>
      </c>
      <c r="P22" s="272">
        <f t="shared" si="0"/>
        <v>0</v>
      </c>
      <c r="Q22" s="114">
        <v>0</v>
      </c>
      <c r="R22" s="114">
        <v>0</v>
      </c>
      <c r="S22" s="114">
        <v>0</v>
      </c>
      <c r="T22" s="114">
        <v>0</v>
      </c>
      <c r="U22" s="114">
        <v>0</v>
      </c>
      <c r="V22" s="114">
        <v>0</v>
      </c>
      <c r="W22" s="114">
        <v>0</v>
      </c>
      <c r="X22" s="114">
        <v>0</v>
      </c>
      <c r="Y22" s="116" t="s">
        <v>337</v>
      </c>
      <c r="Z22" s="116"/>
    </row>
    <row r="23" spans="1:26" x14ac:dyDescent="0.45">
      <c r="A23" s="170"/>
      <c r="B23" s="171"/>
      <c r="C23" s="171" t="s">
        <v>355</v>
      </c>
      <c r="D23" s="173" t="s">
        <v>139</v>
      </c>
      <c r="E23" s="172" t="s">
        <v>356</v>
      </c>
      <c r="F23" s="111" t="s">
        <v>273</v>
      </c>
      <c r="G23" s="112">
        <v>1</v>
      </c>
      <c r="H23" s="112">
        <v>1</v>
      </c>
      <c r="I23" s="112">
        <v>1</v>
      </c>
      <c r="J23" s="112">
        <v>2</v>
      </c>
      <c r="K23" s="270">
        <v>2</v>
      </c>
      <c r="L23" s="114">
        <v>1</v>
      </c>
      <c r="M23" s="114">
        <v>0</v>
      </c>
      <c r="N23" s="114">
        <v>1</v>
      </c>
      <c r="O23" s="114">
        <v>2</v>
      </c>
      <c r="P23" s="272">
        <f t="shared" si="0"/>
        <v>4</v>
      </c>
      <c r="Q23" s="114">
        <v>0.35</v>
      </c>
      <c r="R23" s="114">
        <v>0.35</v>
      </c>
      <c r="S23" s="114">
        <v>0.35</v>
      </c>
      <c r="T23" s="114">
        <v>0.35</v>
      </c>
      <c r="U23" s="114">
        <v>0.35</v>
      </c>
      <c r="V23" s="114">
        <v>0.35</v>
      </c>
      <c r="W23" s="114">
        <v>0.35</v>
      </c>
      <c r="X23" s="114">
        <v>0.35</v>
      </c>
      <c r="Y23" s="116" t="s">
        <v>337</v>
      </c>
      <c r="Z23" s="116"/>
    </row>
    <row r="24" spans="1:26" x14ac:dyDescent="0.45">
      <c r="A24" s="170"/>
      <c r="B24" s="171"/>
      <c r="C24" s="171" t="s">
        <v>357</v>
      </c>
      <c r="D24" s="173" t="s">
        <v>146</v>
      </c>
      <c r="E24" s="172" t="s">
        <v>358</v>
      </c>
      <c r="F24" s="111" t="s">
        <v>273</v>
      </c>
      <c r="G24" s="112">
        <v>0</v>
      </c>
      <c r="H24" s="112">
        <v>0</v>
      </c>
      <c r="I24" s="112">
        <v>0</v>
      </c>
      <c r="J24" s="112">
        <v>0</v>
      </c>
      <c r="K24" s="270">
        <v>0</v>
      </c>
      <c r="L24" s="114">
        <v>0</v>
      </c>
      <c r="M24" s="114">
        <v>0</v>
      </c>
      <c r="N24" s="114">
        <v>0</v>
      </c>
      <c r="O24" s="114">
        <v>0</v>
      </c>
      <c r="P24" s="272">
        <f t="shared" si="0"/>
        <v>0</v>
      </c>
      <c r="Q24" s="114">
        <v>0</v>
      </c>
      <c r="R24" s="114">
        <v>0</v>
      </c>
      <c r="S24" s="114">
        <v>0</v>
      </c>
      <c r="T24" s="114">
        <v>0</v>
      </c>
      <c r="U24" s="114">
        <v>0</v>
      </c>
      <c r="V24" s="114">
        <v>0</v>
      </c>
      <c r="W24" s="114">
        <v>0</v>
      </c>
      <c r="X24" s="114">
        <v>0</v>
      </c>
      <c r="Y24" s="116" t="s">
        <v>337</v>
      </c>
      <c r="Z24" s="116"/>
    </row>
    <row r="25" spans="1:26" x14ac:dyDescent="0.45">
      <c r="A25" s="170"/>
      <c r="B25" s="171"/>
      <c r="C25" s="171" t="s">
        <v>359</v>
      </c>
      <c r="D25" s="173" t="s">
        <v>150</v>
      </c>
      <c r="E25" s="172" t="s">
        <v>360</v>
      </c>
      <c r="F25" s="111" t="s">
        <v>184</v>
      </c>
      <c r="G25" s="112">
        <v>14</v>
      </c>
      <c r="H25" s="112">
        <v>45</v>
      </c>
      <c r="I25" s="112">
        <v>51</v>
      </c>
      <c r="J25" s="112">
        <v>17</v>
      </c>
      <c r="K25" s="270">
        <v>26</v>
      </c>
      <c r="L25" s="114">
        <v>1</v>
      </c>
      <c r="M25" s="114">
        <v>0</v>
      </c>
      <c r="N25" s="114">
        <v>3</v>
      </c>
      <c r="O25" s="114">
        <v>2</v>
      </c>
      <c r="P25" s="272">
        <f t="shared" si="0"/>
        <v>6</v>
      </c>
      <c r="Q25" s="114">
        <v>7.6203027950310558</v>
      </c>
      <c r="R25" s="114">
        <v>7.6203027950310558</v>
      </c>
      <c r="S25" s="114">
        <v>7.6203027950310558</v>
      </c>
      <c r="T25" s="114">
        <v>7.6203027950310558</v>
      </c>
      <c r="U25" s="114">
        <v>7.583240683229814</v>
      </c>
      <c r="V25" s="114">
        <v>7.583240683229814</v>
      </c>
      <c r="W25" s="114">
        <v>7.583240683229814</v>
      </c>
      <c r="X25" s="114">
        <v>7.583240683229814</v>
      </c>
      <c r="Y25" s="116" t="s">
        <v>337</v>
      </c>
      <c r="Z25" s="116"/>
    </row>
    <row r="26" spans="1:26" x14ac:dyDescent="0.45">
      <c r="A26" s="170"/>
      <c r="B26" s="171"/>
      <c r="C26" s="171" t="s">
        <v>361</v>
      </c>
      <c r="D26" s="173" t="s">
        <v>168</v>
      </c>
      <c r="E26" s="172" t="s">
        <v>362</v>
      </c>
      <c r="F26" s="111" t="s">
        <v>273</v>
      </c>
      <c r="G26" s="112">
        <v>0</v>
      </c>
      <c r="H26" s="112">
        <v>0</v>
      </c>
      <c r="I26" s="112">
        <v>0</v>
      </c>
      <c r="J26" s="112">
        <v>0</v>
      </c>
      <c r="K26" s="270">
        <v>0</v>
      </c>
      <c r="L26" s="114">
        <v>0</v>
      </c>
      <c r="M26" s="114">
        <v>0</v>
      </c>
      <c r="N26" s="114">
        <v>0</v>
      </c>
      <c r="O26" s="114">
        <v>0</v>
      </c>
      <c r="P26" s="272">
        <f t="shared" si="0"/>
        <v>0</v>
      </c>
      <c r="Q26" s="114">
        <v>0</v>
      </c>
      <c r="R26" s="114">
        <v>0</v>
      </c>
      <c r="S26" s="114">
        <v>0</v>
      </c>
      <c r="T26" s="114">
        <v>0</v>
      </c>
      <c r="U26" s="114">
        <v>0</v>
      </c>
      <c r="V26" s="114">
        <v>0</v>
      </c>
      <c r="W26" s="114">
        <v>0</v>
      </c>
      <c r="X26" s="114">
        <v>0</v>
      </c>
      <c r="Y26" s="116" t="s">
        <v>337</v>
      </c>
      <c r="Z26" s="116"/>
    </row>
    <row r="27" spans="1:26" x14ac:dyDescent="0.45">
      <c r="A27" s="170" t="s">
        <v>333</v>
      </c>
      <c r="B27" s="171" t="s">
        <v>363</v>
      </c>
      <c r="C27" s="171" t="s">
        <v>364</v>
      </c>
      <c r="D27" s="173" t="s">
        <v>171</v>
      </c>
      <c r="E27" s="172" t="s">
        <v>365</v>
      </c>
      <c r="F27" s="111" t="s">
        <v>273</v>
      </c>
      <c r="G27" s="130">
        <v>0</v>
      </c>
      <c r="H27" s="130">
        <v>0</v>
      </c>
      <c r="I27" s="130">
        <v>0</v>
      </c>
      <c r="J27" s="130">
        <v>0</v>
      </c>
      <c r="K27" s="271">
        <v>0</v>
      </c>
      <c r="L27" s="144">
        <v>0</v>
      </c>
      <c r="M27" s="144">
        <v>0</v>
      </c>
      <c r="N27" s="144">
        <v>0</v>
      </c>
      <c r="O27" s="144">
        <v>0</v>
      </c>
      <c r="P27" s="272">
        <f t="shared" si="0"/>
        <v>0</v>
      </c>
      <c r="Q27" s="114">
        <v>0</v>
      </c>
      <c r="R27" s="114">
        <v>0</v>
      </c>
      <c r="S27" s="114">
        <v>0</v>
      </c>
      <c r="T27" s="114">
        <v>0</v>
      </c>
      <c r="U27" s="114">
        <v>0</v>
      </c>
      <c r="V27" s="114">
        <v>0</v>
      </c>
      <c r="W27" s="114">
        <v>0</v>
      </c>
      <c r="X27" s="114">
        <v>0</v>
      </c>
      <c r="Y27" s="116" t="s">
        <v>337</v>
      </c>
      <c r="Z27" s="116"/>
    </row>
    <row r="28" spans="1:26" x14ac:dyDescent="0.45">
      <c r="A28" s="170"/>
      <c r="B28" s="171"/>
      <c r="C28" s="171"/>
      <c r="D28" s="173" t="s">
        <v>366</v>
      </c>
      <c r="E28" s="172" t="s">
        <v>367</v>
      </c>
      <c r="F28" s="111" t="s">
        <v>273</v>
      </c>
      <c r="G28" s="112">
        <v>0</v>
      </c>
      <c r="H28" s="112">
        <v>0</v>
      </c>
      <c r="I28" s="112">
        <v>0</v>
      </c>
      <c r="J28" s="112">
        <v>0</v>
      </c>
      <c r="K28" s="270">
        <v>0</v>
      </c>
      <c r="L28" s="114">
        <v>0</v>
      </c>
      <c r="M28" s="114">
        <v>0</v>
      </c>
      <c r="N28" s="114">
        <v>0</v>
      </c>
      <c r="O28" s="114">
        <v>0</v>
      </c>
      <c r="P28" s="272">
        <f t="shared" si="0"/>
        <v>0</v>
      </c>
      <c r="Q28" s="114">
        <v>0</v>
      </c>
      <c r="R28" s="114">
        <v>0</v>
      </c>
      <c r="S28" s="114">
        <v>0</v>
      </c>
      <c r="T28" s="114">
        <v>0</v>
      </c>
      <c r="U28" s="114">
        <v>0</v>
      </c>
      <c r="V28" s="114">
        <v>0</v>
      </c>
      <c r="W28" s="114">
        <v>0</v>
      </c>
      <c r="X28" s="114">
        <v>0</v>
      </c>
      <c r="Y28" s="116" t="s">
        <v>337</v>
      </c>
      <c r="Z28" s="116"/>
    </row>
    <row r="29" spans="1:26" x14ac:dyDescent="0.45">
      <c r="A29" s="170"/>
      <c r="B29" s="171"/>
      <c r="C29" s="171"/>
      <c r="D29" s="173" t="s">
        <v>368</v>
      </c>
      <c r="E29" s="172" t="s">
        <v>369</v>
      </c>
      <c r="F29" s="111" t="s">
        <v>273</v>
      </c>
      <c r="G29" s="112">
        <v>0</v>
      </c>
      <c r="H29" s="112">
        <v>0</v>
      </c>
      <c r="I29" s="112">
        <v>0</v>
      </c>
      <c r="J29" s="112">
        <v>0</v>
      </c>
      <c r="K29" s="270">
        <v>0</v>
      </c>
      <c r="L29" s="114">
        <v>0</v>
      </c>
      <c r="M29" s="114">
        <v>0</v>
      </c>
      <c r="N29" s="114">
        <v>0</v>
      </c>
      <c r="O29" s="114">
        <v>0</v>
      </c>
      <c r="P29" s="272">
        <f t="shared" si="0"/>
        <v>0</v>
      </c>
      <c r="Q29" s="114">
        <v>0</v>
      </c>
      <c r="R29" s="114">
        <v>0</v>
      </c>
      <c r="S29" s="114">
        <v>0</v>
      </c>
      <c r="T29" s="114">
        <v>0</v>
      </c>
      <c r="U29" s="114">
        <v>0</v>
      </c>
      <c r="V29" s="114">
        <v>0</v>
      </c>
      <c r="W29" s="114">
        <v>0</v>
      </c>
      <c r="X29" s="114">
        <v>0</v>
      </c>
      <c r="Y29" s="116" t="s">
        <v>337</v>
      </c>
      <c r="Z29" s="116"/>
    </row>
    <row r="30" spans="1:26" x14ac:dyDescent="0.45">
      <c r="A30" s="170"/>
      <c r="B30" s="171"/>
      <c r="C30" s="171"/>
      <c r="D30" s="173" t="s">
        <v>370</v>
      </c>
      <c r="E30" s="172" t="s">
        <v>371</v>
      </c>
      <c r="F30" s="111" t="s">
        <v>273</v>
      </c>
      <c r="G30" s="112">
        <v>0</v>
      </c>
      <c r="H30" s="112">
        <v>0</v>
      </c>
      <c r="I30" s="112">
        <v>0</v>
      </c>
      <c r="J30" s="112">
        <v>0</v>
      </c>
      <c r="K30" s="270">
        <v>0</v>
      </c>
      <c r="L30" s="114">
        <v>0</v>
      </c>
      <c r="M30" s="114">
        <v>0</v>
      </c>
      <c r="N30" s="114">
        <v>0</v>
      </c>
      <c r="O30" s="114">
        <v>0</v>
      </c>
      <c r="P30" s="272">
        <f t="shared" si="0"/>
        <v>0</v>
      </c>
      <c r="Q30" s="114">
        <v>0</v>
      </c>
      <c r="R30" s="114">
        <v>0</v>
      </c>
      <c r="S30" s="114">
        <v>0</v>
      </c>
      <c r="T30" s="114">
        <v>0</v>
      </c>
      <c r="U30" s="114">
        <v>0</v>
      </c>
      <c r="V30" s="114">
        <v>0</v>
      </c>
      <c r="W30" s="114">
        <v>0</v>
      </c>
      <c r="X30" s="114">
        <v>0</v>
      </c>
      <c r="Y30" s="116" t="s">
        <v>337</v>
      </c>
      <c r="Z30" s="116"/>
    </row>
    <row r="31" spans="1:26" x14ac:dyDescent="0.45">
      <c r="A31" s="170"/>
      <c r="B31" s="171"/>
      <c r="C31" s="171"/>
      <c r="D31" s="173" t="s">
        <v>372</v>
      </c>
      <c r="E31" s="172" t="s">
        <v>373</v>
      </c>
      <c r="F31" s="111" t="s">
        <v>273</v>
      </c>
      <c r="G31" s="112">
        <v>0</v>
      </c>
      <c r="H31" s="112">
        <v>0</v>
      </c>
      <c r="I31" s="112">
        <v>0</v>
      </c>
      <c r="J31" s="112">
        <v>0</v>
      </c>
      <c r="K31" s="270">
        <v>0</v>
      </c>
      <c r="L31" s="114">
        <v>0</v>
      </c>
      <c r="M31" s="114">
        <v>0</v>
      </c>
      <c r="N31" s="114">
        <v>0</v>
      </c>
      <c r="O31" s="114">
        <v>0</v>
      </c>
      <c r="P31" s="272">
        <f t="shared" si="0"/>
        <v>0</v>
      </c>
      <c r="Q31" s="114">
        <v>0</v>
      </c>
      <c r="R31" s="114">
        <v>0</v>
      </c>
      <c r="S31" s="114">
        <v>0</v>
      </c>
      <c r="T31" s="114">
        <v>0</v>
      </c>
      <c r="U31" s="114">
        <v>0</v>
      </c>
      <c r="V31" s="114">
        <v>0</v>
      </c>
      <c r="W31" s="114">
        <v>0</v>
      </c>
      <c r="X31" s="114">
        <v>0</v>
      </c>
      <c r="Y31" s="116" t="s">
        <v>337</v>
      </c>
      <c r="Z31" s="116"/>
    </row>
    <row r="32" spans="1:26" x14ac:dyDescent="0.45">
      <c r="A32" s="170"/>
      <c r="B32" s="171"/>
      <c r="C32" s="171" t="s">
        <v>374</v>
      </c>
      <c r="D32" s="173" t="s">
        <v>375</v>
      </c>
      <c r="E32" s="172" t="s">
        <v>376</v>
      </c>
      <c r="F32" s="111" t="s">
        <v>273</v>
      </c>
      <c r="G32" s="112">
        <v>0</v>
      </c>
      <c r="H32" s="112">
        <v>0</v>
      </c>
      <c r="I32" s="112">
        <v>0</v>
      </c>
      <c r="J32" s="112">
        <v>0</v>
      </c>
      <c r="K32" s="270">
        <v>0</v>
      </c>
      <c r="L32" s="114">
        <v>0</v>
      </c>
      <c r="M32" s="114">
        <v>0</v>
      </c>
      <c r="N32" s="114">
        <v>0</v>
      </c>
      <c r="O32" s="114">
        <v>0</v>
      </c>
      <c r="P32" s="272">
        <f t="shared" si="0"/>
        <v>0</v>
      </c>
      <c r="Q32" s="114">
        <v>0</v>
      </c>
      <c r="R32" s="114">
        <v>0</v>
      </c>
      <c r="S32" s="114">
        <v>0</v>
      </c>
      <c r="T32" s="114">
        <v>0</v>
      </c>
      <c r="U32" s="114">
        <v>0</v>
      </c>
      <c r="V32" s="114">
        <v>0</v>
      </c>
      <c r="W32" s="114">
        <v>0</v>
      </c>
      <c r="X32" s="114">
        <v>0</v>
      </c>
      <c r="Y32" s="116" t="s">
        <v>337</v>
      </c>
      <c r="Z32" s="116"/>
    </row>
    <row r="33" spans="1:142" x14ac:dyDescent="0.45">
      <c r="A33" s="170"/>
      <c r="B33" s="171"/>
      <c r="C33" s="171"/>
      <c r="D33" s="173" t="s">
        <v>377</v>
      </c>
      <c r="E33" s="172" t="s">
        <v>378</v>
      </c>
      <c r="F33" s="111" t="s">
        <v>184</v>
      </c>
      <c r="G33" s="112">
        <v>0</v>
      </c>
      <c r="H33" s="112">
        <v>1</v>
      </c>
      <c r="I33" s="112">
        <v>0</v>
      </c>
      <c r="J33" s="112">
        <v>0</v>
      </c>
      <c r="K33" s="270">
        <v>0</v>
      </c>
      <c r="L33" s="114">
        <v>0</v>
      </c>
      <c r="M33" s="114">
        <v>0</v>
      </c>
      <c r="N33" s="114">
        <v>0</v>
      </c>
      <c r="O33" s="114">
        <v>0</v>
      </c>
      <c r="P33" s="272">
        <f t="shared" si="0"/>
        <v>0</v>
      </c>
      <c r="Q33" s="114">
        <v>4.7859375000000003E-2</v>
      </c>
      <c r="R33" s="114">
        <v>4.7859375000000003E-2</v>
      </c>
      <c r="S33" s="114">
        <v>4.7859375000000003E-2</v>
      </c>
      <c r="T33" s="114">
        <v>4.7859375000000003E-2</v>
      </c>
      <c r="U33" s="114">
        <v>4.7578125000000006E-2</v>
      </c>
      <c r="V33" s="114">
        <v>4.7578125000000006E-2</v>
      </c>
      <c r="W33" s="114">
        <v>4.7578125000000006E-2</v>
      </c>
      <c r="X33" s="114">
        <v>4.7578125000000006E-2</v>
      </c>
      <c r="Y33" s="116" t="s">
        <v>337</v>
      </c>
      <c r="Z33" s="116"/>
    </row>
    <row r="34" spans="1:142" x14ac:dyDescent="0.45">
      <c r="A34" s="170"/>
      <c r="B34" s="171"/>
      <c r="C34" s="171"/>
      <c r="D34" s="173" t="s">
        <v>379</v>
      </c>
      <c r="E34" s="172" t="s">
        <v>380</v>
      </c>
      <c r="F34" s="111" t="s">
        <v>273</v>
      </c>
      <c r="G34" s="112">
        <v>0</v>
      </c>
      <c r="H34" s="112">
        <v>0</v>
      </c>
      <c r="I34" s="112">
        <v>0</v>
      </c>
      <c r="J34" s="112">
        <v>0</v>
      </c>
      <c r="K34" s="270">
        <v>0</v>
      </c>
      <c r="L34" s="114">
        <v>0</v>
      </c>
      <c r="M34" s="114">
        <v>0</v>
      </c>
      <c r="N34" s="114">
        <v>0</v>
      </c>
      <c r="O34" s="114">
        <v>0</v>
      </c>
      <c r="P34" s="272">
        <f t="shared" si="0"/>
        <v>0</v>
      </c>
      <c r="Q34" s="114">
        <v>0</v>
      </c>
      <c r="R34" s="114">
        <v>0</v>
      </c>
      <c r="S34" s="114">
        <v>0</v>
      </c>
      <c r="T34" s="114">
        <v>0</v>
      </c>
      <c r="U34" s="114">
        <v>0</v>
      </c>
      <c r="V34" s="114">
        <v>0</v>
      </c>
      <c r="W34" s="114">
        <v>0</v>
      </c>
      <c r="X34" s="114">
        <v>0</v>
      </c>
      <c r="Y34" s="116" t="s">
        <v>337</v>
      </c>
      <c r="Z34" s="116"/>
    </row>
    <row r="35" spans="1:142" x14ac:dyDescent="0.45">
      <c r="A35" s="170"/>
      <c r="B35" s="171"/>
      <c r="C35" s="171"/>
      <c r="D35" s="173" t="s">
        <v>381</v>
      </c>
      <c r="E35" s="172" t="s">
        <v>382</v>
      </c>
      <c r="F35" s="111" t="s">
        <v>273</v>
      </c>
      <c r="G35" s="112">
        <v>0</v>
      </c>
      <c r="H35" s="112">
        <v>0</v>
      </c>
      <c r="I35" s="112">
        <v>0</v>
      </c>
      <c r="J35" s="112">
        <v>0</v>
      </c>
      <c r="K35" s="270">
        <v>0</v>
      </c>
      <c r="L35" s="114">
        <v>0</v>
      </c>
      <c r="M35" s="114">
        <v>0</v>
      </c>
      <c r="N35" s="114">
        <v>0</v>
      </c>
      <c r="O35" s="114">
        <v>0</v>
      </c>
      <c r="P35" s="272">
        <f t="shared" si="0"/>
        <v>0</v>
      </c>
      <c r="Q35" s="114">
        <v>0</v>
      </c>
      <c r="R35" s="114">
        <v>0</v>
      </c>
      <c r="S35" s="114">
        <v>0</v>
      </c>
      <c r="T35" s="114">
        <v>0</v>
      </c>
      <c r="U35" s="114">
        <v>0</v>
      </c>
      <c r="V35" s="114">
        <v>0</v>
      </c>
      <c r="W35" s="114">
        <v>0</v>
      </c>
      <c r="X35" s="114">
        <v>0</v>
      </c>
      <c r="Y35" s="116" t="s">
        <v>337</v>
      </c>
      <c r="Z35" s="116"/>
    </row>
    <row r="36" spans="1:142" x14ac:dyDescent="0.45">
      <c r="A36" s="170"/>
      <c r="B36" s="171"/>
      <c r="C36" s="171"/>
      <c r="D36" s="173" t="s">
        <v>383</v>
      </c>
      <c r="E36" s="172" t="s">
        <v>384</v>
      </c>
      <c r="F36" s="111" t="s">
        <v>184</v>
      </c>
      <c r="G36" s="112">
        <v>0</v>
      </c>
      <c r="H36" s="112">
        <v>0</v>
      </c>
      <c r="I36" s="112">
        <v>0</v>
      </c>
      <c r="J36" s="112">
        <v>0</v>
      </c>
      <c r="K36" s="270">
        <v>0</v>
      </c>
      <c r="L36" s="114">
        <v>0</v>
      </c>
      <c r="M36" s="114">
        <v>0</v>
      </c>
      <c r="N36" s="114">
        <v>0</v>
      </c>
      <c r="O36" s="114">
        <v>0</v>
      </c>
      <c r="P36" s="272">
        <f t="shared" si="0"/>
        <v>0</v>
      </c>
      <c r="Q36" s="114">
        <v>0</v>
      </c>
      <c r="R36" s="114">
        <v>0</v>
      </c>
      <c r="S36" s="114">
        <v>0</v>
      </c>
      <c r="T36" s="114">
        <v>0</v>
      </c>
      <c r="U36" s="114">
        <v>0</v>
      </c>
      <c r="V36" s="114">
        <v>0</v>
      </c>
      <c r="W36" s="114">
        <v>0</v>
      </c>
      <c r="X36" s="114">
        <v>0</v>
      </c>
      <c r="Y36" s="116" t="s">
        <v>337</v>
      </c>
      <c r="Z36" s="116"/>
    </row>
    <row r="37" spans="1:142" x14ac:dyDescent="0.45">
      <c r="A37" s="170"/>
      <c r="B37" s="171"/>
      <c r="C37" s="171"/>
      <c r="D37" s="173" t="s">
        <v>385</v>
      </c>
      <c r="E37" s="172" t="s">
        <v>386</v>
      </c>
      <c r="F37" s="111" t="s">
        <v>184</v>
      </c>
      <c r="G37" s="112">
        <v>0</v>
      </c>
      <c r="H37" s="112">
        <v>0</v>
      </c>
      <c r="I37" s="112">
        <v>0</v>
      </c>
      <c r="J37" s="112">
        <v>0</v>
      </c>
      <c r="K37" s="270">
        <v>0</v>
      </c>
      <c r="L37" s="114">
        <v>0</v>
      </c>
      <c r="M37" s="114">
        <v>0</v>
      </c>
      <c r="N37" s="114">
        <v>0</v>
      </c>
      <c r="O37" s="114">
        <v>0</v>
      </c>
      <c r="P37" s="272">
        <f t="shared" si="0"/>
        <v>0</v>
      </c>
      <c r="Q37" s="114">
        <v>0</v>
      </c>
      <c r="R37" s="114">
        <v>0</v>
      </c>
      <c r="S37" s="114">
        <v>0</v>
      </c>
      <c r="T37" s="114">
        <v>0</v>
      </c>
      <c r="U37" s="114">
        <v>0</v>
      </c>
      <c r="V37" s="114">
        <v>0</v>
      </c>
      <c r="W37" s="114">
        <v>0</v>
      </c>
      <c r="X37" s="114">
        <v>0</v>
      </c>
      <c r="Y37" s="116" t="s">
        <v>337</v>
      </c>
      <c r="Z37" s="116"/>
    </row>
    <row r="38" spans="1:142" x14ac:dyDescent="0.45">
      <c r="A38" s="170"/>
      <c r="B38" s="171"/>
      <c r="C38" s="171"/>
      <c r="D38" s="173" t="s">
        <v>387</v>
      </c>
      <c r="E38" s="172" t="s">
        <v>388</v>
      </c>
      <c r="F38" s="111" t="s">
        <v>184</v>
      </c>
      <c r="G38" s="112">
        <v>0</v>
      </c>
      <c r="H38" s="112">
        <v>0</v>
      </c>
      <c r="I38" s="112">
        <v>0</v>
      </c>
      <c r="J38" s="112">
        <v>0</v>
      </c>
      <c r="K38" s="270">
        <v>0</v>
      </c>
      <c r="L38" s="114">
        <v>0</v>
      </c>
      <c r="M38" s="114">
        <v>0</v>
      </c>
      <c r="N38" s="114">
        <v>0</v>
      </c>
      <c r="O38" s="114">
        <v>0</v>
      </c>
      <c r="P38" s="272">
        <f t="shared" si="0"/>
        <v>0</v>
      </c>
      <c r="Q38" s="114">
        <v>0</v>
      </c>
      <c r="R38" s="114">
        <v>0</v>
      </c>
      <c r="S38" s="114">
        <v>0</v>
      </c>
      <c r="T38" s="114">
        <v>0</v>
      </c>
      <c r="U38" s="114">
        <v>0</v>
      </c>
      <c r="V38" s="114">
        <v>0</v>
      </c>
      <c r="W38" s="114">
        <v>0</v>
      </c>
      <c r="X38" s="114">
        <v>0</v>
      </c>
      <c r="Y38" s="116" t="s">
        <v>337</v>
      </c>
      <c r="Z38" s="116"/>
    </row>
    <row r="39" spans="1:142" x14ac:dyDescent="0.45">
      <c r="A39" s="170"/>
      <c r="B39" s="171"/>
      <c r="C39" s="171"/>
      <c r="D39" s="173" t="s">
        <v>389</v>
      </c>
      <c r="E39" s="172" t="s">
        <v>390</v>
      </c>
      <c r="F39" s="111" t="s">
        <v>273</v>
      </c>
      <c r="G39" s="112">
        <v>0</v>
      </c>
      <c r="H39" s="112">
        <v>0</v>
      </c>
      <c r="I39" s="112">
        <v>1</v>
      </c>
      <c r="J39" s="112">
        <v>0</v>
      </c>
      <c r="K39" s="270">
        <v>0</v>
      </c>
      <c r="L39" s="114">
        <v>1</v>
      </c>
      <c r="M39" s="114">
        <v>0</v>
      </c>
      <c r="N39" s="114">
        <v>0</v>
      </c>
      <c r="O39" s="114">
        <v>0</v>
      </c>
      <c r="P39" s="272">
        <f t="shared" si="0"/>
        <v>1</v>
      </c>
      <c r="Q39" s="114">
        <v>4.8050000000000009E-2</v>
      </c>
      <c r="R39" s="114">
        <v>4.8050000000000009E-2</v>
      </c>
      <c r="S39" s="114">
        <v>4.8050000000000009E-2</v>
      </c>
      <c r="T39" s="114">
        <v>4.8050000000000009E-2</v>
      </c>
      <c r="U39" s="114">
        <v>4.7800000000000009E-2</v>
      </c>
      <c r="V39" s="114">
        <v>4.7800000000000009E-2</v>
      </c>
      <c r="W39" s="114">
        <v>4.7800000000000009E-2</v>
      </c>
      <c r="X39" s="114">
        <v>4.7800000000000009E-2</v>
      </c>
      <c r="Y39" s="116" t="s">
        <v>337</v>
      </c>
      <c r="Z39" s="116"/>
    </row>
    <row r="40" spans="1:142" x14ac:dyDescent="0.45">
      <c r="A40" s="170"/>
      <c r="B40" s="171"/>
      <c r="C40" s="171" t="s">
        <v>391</v>
      </c>
      <c r="D40" s="173" t="s">
        <v>392</v>
      </c>
      <c r="E40" s="172" t="s">
        <v>393</v>
      </c>
      <c r="F40" s="111" t="s">
        <v>273</v>
      </c>
      <c r="G40" s="112">
        <v>0</v>
      </c>
      <c r="H40" s="112">
        <v>0</v>
      </c>
      <c r="I40" s="112">
        <v>0</v>
      </c>
      <c r="J40" s="112">
        <v>0</v>
      </c>
      <c r="K40" s="270">
        <v>0</v>
      </c>
      <c r="L40" s="114">
        <v>0</v>
      </c>
      <c r="M40" s="114">
        <v>0</v>
      </c>
      <c r="N40" s="114">
        <v>0</v>
      </c>
      <c r="O40" s="114">
        <v>0</v>
      </c>
      <c r="P40" s="272">
        <f t="shared" si="0"/>
        <v>0</v>
      </c>
      <c r="Q40" s="114">
        <v>0</v>
      </c>
      <c r="R40" s="114">
        <v>0</v>
      </c>
      <c r="S40" s="114">
        <v>0</v>
      </c>
      <c r="T40" s="114">
        <v>0</v>
      </c>
      <c r="U40" s="114">
        <v>0</v>
      </c>
      <c r="V40" s="114">
        <v>0</v>
      </c>
      <c r="W40" s="114">
        <v>0</v>
      </c>
      <c r="X40" s="114">
        <v>0</v>
      </c>
      <c r="Y40" s="116" t="s">
        <v>337</v>
      </c>
      <c r="Z40" s="116"/>
    </row>
    <row r="41" spans="1:142" x14ac:dyDescent="0.45">
      <c r="A41" s="170"/>
      <c r="B41" s="171"/>
      <c r="C41" s="171" t="s">
        <v>394</v>
      </c>
      <c r="D41" s="173" t="s">
        <v>395</v>
      </c>
      <c r="E41" s="172" t="s">
        <v>396</v>
      </c>
      <c r="F41" s="111" t="s">
        <v>273</v>
      </c>
      <c r="G41" s="112">
        <v>0</v>
      </c>
      <c r="H41" s="112">
        <v>0</v>
      </c>
      <c r="I41" s="112">
        <v>0</v>
      </c>
      <c r="J41" s="112">
        <v>0</v>
      </c>
      <c r="K41" s="270">
        <v>0</v>
      </c>
      <c r="L41" s="114">
        <v>0</v>
      </c>
      <c r="M41" s="114">
        <v>0</v>
      </c>
      <c r="N41" s="114">
        <v>0</v>
      </c>
      <c r="O41" s="114">
        <v>0</v>
      </c>
      <c r="P41" s="272">
        <f t="shared" si="0"/>
        <v>0</v>
      </c>
      <c r="Q41" s="114">
        <v>0</v>
      </c>
      <c r="R41" s="114">
        <v>0</v>
      </c>
      <c r="S41" s="114">
        <v>0</v>
      </c>
      <c r="T41" s="114">
        <v>0</v>
      </c>
      <c r="U41" s="114">
        <v>0</v>
      </c>
      <c r="V41" s="114">
        <v>0</v>
      </c>
      <c r="W41" s="114">
        <v>0</v>
      </c>
      <c r="X41" s="114">
        <v>0</v>
      </c>
      <c r="Y41" s="116" t="s">
        <v>337</v>
      </c>
      <c r="Z41" s="116"/>
    </row>
    <row r="42" spans="1:142" x14ac:dyDescent="0.45">
      <c r="A42" s="170"/>
      <c r="B42" s="171"/>
      <c r="C42" s="171" t="s">
        <v>397</v>
      </c>
      <c r="D42" s="173" t="s">
        <v>398</v>
      </c>
      <c r="E42" s="172" t="s">
        <v>356</v>
      </c>
      <c r="F42" s="111" t="s">
        <v>273</v>
      </c>
      <c r="G42" s="112">
        <v>0</v>
      </c>
      <c r="H42" s="112">
        <v>0</v>
      </c>
      <c r="I42" s="112">
        <v>0</v>
      </c>
      <c r="J42" s="112">
        <v>0</v>
      </c>
      <c r="K42" s="270">
        <v>0</v>
      </c>
      <c r="L42" s="114">
        <v>0</v>
      </c>
      <c r="M42" s="114">
        <v>0</v>
      </c>
      <c r="N42" s="114">
        <v>0</v>
      </c>
      <c r="O42" s="114">
        <v>0</v>
      </c>
      <c r="P42" s="272">
        <f t="shared" si="0"/>
        <v>0</v>
      </c>
      <c r="Q42" s="114">
        <v>0</v>
      </c>
      <c r="R42" s="114">
        <v>0</v>
      </c>
      <c r="S42" s="114">
        <v>0</v>
      </c>
      <c r="T42" s="114">
        <v>0</v>
      </c>
      <c r="U42" s="114">
        <v>0</v>
      </c>
      <c r="V42" s="114">
        <v>0</v>
      </c>
      <c r="W42" s="114">
        <v>0</v>
      </c>
      <c r="X42" s="114">
        <v>0</v>
      </c>
      <c r="Y42" s="116" t="s">
        <v>337</v>
      </c>
      <c r="Z42" s="116"/>
    </row>
    <row r="43" spans="1:142" x14ac:dyDescent="0.45">
      <c r="A43" s="170"/>
      <c r="B43" s="171"/>
      <c r="C43" s="171" t="s">
        <v>399</v>
      </c>
      <c r="D43" s="173" t="s">
        <v>400</v>
      </c>
      <c r="E43" s="172" t="s">
        <v>401</v>
      </c>
      <c r="F43" s="111" t="s">
        <v>273</v>
      </c>
      <c r="G43" s="112">
        <v>0</v>
      </c>
      <c r="H43" s="112">
        <v>0</v>
      </c>
      <c r="I43" s="112">
        <v>0</v>
      </c>
      <c r="J43" s="112">
        <v>0</v>
      </c>
      <c r="K43" s="270">
        <v>0</v>
      </c>
      <c r="L43" s="114">
        <v>0</v>
      </c>
      <c r="M43" s="114">
        <v>0</v>
      </c>
      <c r="N43" s="114">
        <v>0</v>
      </c>
      <c r="O43" s="114">
        <v>0</v>
      </c>
      <c r="P43" s="272">
        <f t="shared" si="0"/>
        <v>0</v>
      </c>
      <c r="Q43" s="114">
        <v>0</v>
      </c>
      <c r="R43" s="114">
        <v>0</v>
      </c>
      <c r="S43" s="114">
        <v>0</v>
      </c>
      <c r="T43" s="114">
        <v>0</v>
      </c>
      <c r="U43" s="114">
        <v>0</v>
      </c>
      <c r="V43" s="114">
        <v>0</v>
      </c>
      <c r="W43" s="114">
        <v>0</v>
      </c>
      <c r="X43" s="114">
        <v>0</v>
      </c>
      <c r="Y43" s="116" t="s">
        <v>337</v>
      </c>
      <c r="Z43" s="116"/>
    </row>
    <row r="44" spans="1:142" x14ac:dyDescent="0.45">
      <c r="A44" s="170"/>
      <c r="B44" s="171"/>
      <c r="C44" s="171" t="s">
        <v>402</v>
      </c>
      <c r="D44" s="173" t="s">
        <v>403</v>
      </c>
      <c r="E44" s="172" t="s">
        <v>404</v>
      </c>
      <c r="F44" s="111" t="s">
        <v>273</v>
      </c>
      <c r="G44" s="112">
        <v>0</v>
      </c>
      <c r="H44" s="112">
        <v>0</v>
      </c>
      <c r="I44" s="112">
        <v>0</v>
      </c>
      <c r="J44" s="112">
        <v>0</v>
      </c>
      <c r="K44" s="270">
        <v>0</v>
      </c>
      <c r="L44" s="114">
        <v>0</v>
      </c>
      <c r="M44" s="114">
        <v>0</v>
      </c>
      <c r="N44" s="114">
        <v>0</v>
      </c>
      <c r="O44" s="114">
        <v>0</v>
      </c>
      <c r="P44" s="272">
        <f t="shared" si="0"/>
        <v>0</v>
      </c>
      <c r="Q44" s="114">
        <v>0</v>
      </c>
      <c r="R44" s="114">
        <v>0</v>
      </c>
      <c r="S44" s="114">
        <v>0</v>
      </c>
      <c r="T44" s="114">
        <v>0</v>
      </c>
      <c r="U44" s="114">
        <v>0</v>
      </c>
      <c r="V44" s="114">
        <v>0</v>
      </c>
      <c r="W44" s="114">
        <v>0</v>
      </c>
      <c r="X44" s="114">
        <v>0</v>
      </c>
      <c r="Y44" s="116" t="s">
        <v>337</v>
      </c>
      <c r="Z44" s="116"/>
    </row>
    <row r="45" spans="1:142" x14ac:dyDescent="0.45">
      <c r="A45" s="170"/>
      <c r="B45" s="171"/>
      <c r="C45" s="171" t="s">
        <v>405</v>
      </c>
      <c r="D45" s="173" t="s">
        <v>406</v>
      </c>
      <c r="E45" s="172" t="s">
        <v>407</v>
      </c>
      <c r="F45" s="111" t="s">
        <v>273</v>
      </c>
      <c r="G45" s="112">
        <v>0</v>
      </c>
      <c r="H45" s="112">
        <v>0</v>
      </c>
      <c r="I45" s="112">
        <v>0</v>
      </c>
      <c r="J45" s="112">
        <v>0</v>
      </c>
      <c r="K45" s="270">
        <v>0</v>
      </c>
      <c r="L45" s="114">
        <v>0</v>
      </c>
      <c r="M45" s="114">
        <v>0</v>
      </c>
      <c r="N45" s="114">
        <v>0</v>
      </c>
      <c r="O45" s="114">
        <v>0</v>
      </c>
      <c r="P45" s="272">
        <f t="shared" si="0"/>
        <v>0</v>
      </c>
      <c r="Q45" s="114">
        <v>0</v>
      </c>
      <c r="R45" s="114">
        <v>0</v>
      </c>
      <c r="S45" s="114">
        <v>0</v>
      </c>
      <c r="T45" s="114">
        <v>0</v>
      </c>
      <c r="U45" s="114">
        <v>0</v>
      </c>
      <c r="V45" s="114">
        <v>0</v>
      </c>
      <c r="W45" s="114">
        <v>0</v>
      </c>
      <c r="X45" s="114">
        <v>0</v>
      </c>
      <c r="Y45" s="116" t="s">
        <v>337</v>
      </c>
      <c r="Z45" s="116"/>
    </row>
    <row r="46" spans="1:142" s="170" customFormat="1" x14ac:dyDescent="0.45">
      <c r="A46" s="170" t="s">
        <v>333</v>
      </c>
      <c r="B46" s="171" t="s">
        <v>408</v>
      </c>
      <c r="C46" s="171" t="s">
        <v>409</v>
      </c>
      <c r="D46" s="173" t="s">
        <v>410</v>
      </c>
      <c r="E46" s="172" t="s">
        <v>336</v>
      </c>
      <c r="F46" s="174" t="s">
        <v>273</v>
      </c>
      <c r="G46" s="175">
        <v>27</v>
      </c>
      <c r="H46" s="175">
        <v>61</v>
      </c>
      <c r="I46" s="175">
        <v>67</v>
      </c>
      <c r="J46" s="175">
        <v>33</v>
      </c>
      <c r="K46" s="270">
        <v>25</v>
      </c>
      <c r="L46" s="175">
        <v>11</v>
      </c>
      <c r="M46" s="175">
        <v>7</v>
      </c>
      <c r="N46" s="175">
        <v>5</v>
      </c>
      <c r="O46" s="175">
        <v>9</v>
      </c>
      <c r="P46" s="272">
        <f t="shared" si="0"/>
        <v>32</v>
      </c>
      <c r="Q46" s="176">
        <v>10.18225</v>
      </c>
      <c r="R46" s="176">
        <v>10.18225</v>
      </c>
      <c r="S46" s="176">
        <v>10.18225</v>
      </c>
      <c r="T46" s="176">
        <v>10.18225</v>
      </c>
      <c r="U46" s="176">
        <v>9.7304999999999993</v>
      </c>
      <c r="V46" s="176">
        <v>9.7304999999999993</v>
      </c>
      <c r="W46" s="176">
        <v>9.7304999999999993</v>
      </c>
      <c r="X46" s="176">
        <v>9.7304999999999993</v>
      </c>
      <c r="Y46" s="116" t="s">
        <v>337</v>
      </c>
      <c r="Z46" s="116"/>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row>
    <row r="47" spans="1:142" s="170" customFormat="1" x14ac:dyDescent="0.45">
      <c r="B47" s="171"/>
      <c r="C47" s="171"/>
      <c r="D47" s="173" t="s">
        <v>411</v>
      </c>
      <c r="E47" s="172" t="s">
        <v>338</v>
      </c>
      <c r="F47" s="174" t="s">
        <v>273</v>
      </c>
      <c r="G47" s="175">
        <v>70</v>
      </c>
      <c r="H47" s="175">
        <v>80</v>
      </c>
      <c r="I47" s="175">
        <v>77</v>
      </c>
      <c r="J47" s="175">
        <v>74</v>
      </c>
      <c r="K47" s="270">
        <v>90</v>
      </c>
      <c r="L47" s="176">
        <v>16</v>
      </c>
      <c r="M47" s="176">
        <v>29</v>
      </c>
      <c r="N47" s="176">
        <v>30</v>
      </c>
      <c r="O47" s="176">
        <v>14</v>
      </c>
      <c r="P47" s="272">
        <f t="shared" si="0"/>
        <v>89</v>
      </c>
      <c r="Q47" s="176">
        <v>19.300250000000002</v>
      </c>
      <c r="R47" s="176">
        <v>19.300250000000002</v>
      </c>
      <c r="S47" s="176">
        <v>19.300250000000002</v>
      </c>
      <c r="T47" s="176">
        <v>19.300250000000002</v>
      </c>
      <c r="U47" s="176">
        <v>19.085000000000001</v>
      </c>
      <c r="V47" s="176">
        <v>19.085000000000001</v>
      </c>
      <c r="W47" s="176">
        <v>19.085000000000001</v>
      </c>
      <c r="X47" s="176">
        <v>19.085000000000001</v>
      </c>
      <c r="Y47" s="116" t="s">
        <v>337</v>
      </c>
      <c r="Z47" s="116"/>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row>
    <row r="48" spans="1:142" s="170" customFormat="1" x14ac:dyDescent="0.45">
      <c r="B48" s="171"/>
      <c r="C48" s="171"/>
      <c r="D48" s="173" t="s">
        <v>412</v>
      </c>
      <c r="E48" s="172" t="s">
        <v>339</v>
      </c>
      <c r="F48" s="174" t="s">
        <v>273</v>
      </c>
      <c r="G48" s="175">
        <v>70</v>
      </c>
      <c r="H48" s="175">
        <v>84</v>
      </c>
      <c r="I48" s="175">
        <v>120</v>
      </c>
      <c r="J48" s="175">
        <v>112</v>
      </c>
      <c r="K48" s="270">
        <v>92</v>
      </c>
      <c r="L48" s="176">
        <v>19</v>
      </c>
      <c r="M48" s="176">
        <v>40</v>
      </c>
      <c r="N48" s="176">
        <v>27</v>
      </c>
      <c r="O48" s="176">
        <v>22</v>
      </c>
      <c r="P48" s="272">
        <f t="shared" si="0"/>
        <v>108</v>
      </c>
      <c r="Q48" s="176">
        <v>23.80725</v>
      </c>
      <c r="R48" s="176">
        <v>23.80725</v>
      </c>
      <c r="S48" s="176">
        <v>23.80725</v>
      </c>
      <c r="T48" s="176">
        <v>23.80725</v>
      </c>
      <c r="U48" s="176">
        <v>23.691500000000001</v>
      </c>
      <c r="V48" s="176">
        <v>23.691500000000001</v>
      </c>
      <c r="W48" s="176">
        <v>23.691500000000001</v>
      </c>
      <c r="X48" s="176">
        <v>23.691500000000001</v>
      </c>
      <c r="Y48" s="116" t="s">
        <v>337</v>
      </c>
      <c r="Z48" s="116"/>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row>
    <row r="49" spans="2:142" s="170" customFormat="1" x14ac:dyDescent="0.45">
      <c r="B49" s="171"/>
      <c r="C49" s="171"/>
      <c r="D49" s="173" t="s">
        <v>413</v>
      </c>
      <c r="E49" s="172" t="s">
        <v>340</v>
      </c>
      <c r="F49" s="174" t="s">
        <v>273</v>
      </c>
      <c r="G49" s="175">
        <v>93</v>
      </c>
      <c r="H49" s="175">
        <v>95</v>
      </c>
      <c r="I49" s="175">
        <v>94</v>
      </c>
      <c r="J49" s="175">
        <v>99</v>
      </c>
      <c r="K49" s="270">
        <v>101</v>
      </c>
      <c r="L49" s="176">
        <v>30</v>
      </c>
      <c r="M49" s="176">
        <v>24</v>
      </c>
      <c r="N49" s="176">
        <v>25</v>
      </c>
      <c r="O49" s="176">
        <v>26</v>
      </c>
      <c r="P49" s="272">
        <f t="shared" si="0"/>
        <v>105</v>
      </c>
      <c r="Q49" s="176">
        <v>24.0105</v>
      </c>
      <c r="R49" s="176">
        <v>24.0105</v>
      </c>
      <c r="S49" s="176">
        <v>24.0105</v>
      </c>
      <c r="T49" s="176">
        <v>24.0105</v>
      </c>
      <c r="U49" s="176">
        <v>23.935749999999999</v>
      </c>
      <c r="V49" s="176">
        <v>23.935749999999999</v>
      </c>
      <c r="W49" s="176">
        <v>23.935749999999999</v>
      </c>
      <c r="X49" s="176">
        <v>23.935749999999999</v>
      </c>
      <c r="Y49" s="116" t="s">
        <v>337</v>
      </c>
      <c r="Z49" s="116"/>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row>
    <row r="50" spans="2:142" s="170" customFormat="1" x14ac:dyDescent="0.45">
      <c r="B50" s="171"/>
      <c r="C50" s="171"/>
      <c r="D50" s="173" t="s">
        <v>414</v>
      </c>
      <c r="E50" s="172" t="s">
        <v>341</v>
      </c>
      <c r="F50" s="174" t="s">
        <v>273</v>
      </c>
      <c r="G50" s="175">
        <v>27</v>
      </c>
      <c r="H50" s="175">
        <v>44</v>
      </c>
      <c r="I50" s="175">
        <v>23</v>
      </c>
      <c r="J50" s="175">
        <v>36</v>
      </c>
      <c r="K50" s="270">
        <v>31</v>
      </c>
      <c r="L50" s="176">
        <v>11</v>
      </c>
      <c r="M50" s="176">
        <v>10</v>
      </c>
      <c r="N50" s="176">
        <v>7</v>
      </c>
      <c r="O50" s="176">
        <v>12</v>
      </c>
      <c r="P50" s="272">
        <f t="shared" si="0"/>
        <v>40</v>
      </c>
      <c r="Q50" s="176">
        <v>8.0187500000000007</v>
      </c>
      <c r="R50" s="176">
        <v>8.0187500000000007</v>
      </c>
      <c r="S50" s="176">
        <v>8.0187500000000007</v>
      </c>
      <c r="T50" s="176">
        <v>8.0187500000000007</v>
      </c>
      <c r="U50" s="176">
        <v>7.979750000000001</v>
      </c>
      <c r="V50" s="176">
        <v>7.979750000000001</v>
      </c>
      <c r="W50" s="176">
        <v>7.979750000000001</v>
      </c>
      <c r="X50" s="176">
        <v>7.979750000000001</v>
      </c>
      <c r="Y50" s="116" t="s">
        <v>337</v>
      </c>
      <c r="Z50" s="116"/>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row>
    <row r="51" spans="2:142" s="170" customFormat="1" x14ac:dyDescent="0.45">
      <c r="B51" s="171"/>
      <c r="C51" s="171" t="s">
        <v>415</v>
      </c>
      <c r="D51" s="173" t="s">
        <v>416</v>
      </c>
      <c r="E51" s="172" t="s">
        <v>417</v>
      </c>
      <c r="F51" s="174" t="s">
        <v>273</v>
      </c>
      <c r="G51" s="175">
        <v>12</v>
      </c>
      <c r="H51" s="175">
        <v>5</v>
      </c>
      <c r="I51" s="175">
        <v>3</v>
      </c>
      <c r="J51" s="175">
        <v>11</v>
      </c>
      <c r="K51" s="270">
        <v>12</v>
      </c>
      <c r="L51" s="176">
        <v>4</v>
      </c>
      <c r="M51" s="176">
        <v>2</v>
      </c>
      <c r="N51" s="176">
        <v>3</v>
      </c>
      <c r="O51" s="176">
        <v>2</v>
      </c>
      <c r="P51" s="272">
        <f t="shared" si="0"/>
        <v>11</v>
      </c>
      <c r="Q51" s="176">
        <v>2.0634999999999999</v>
      </c>
      <c r="R51" s="176">
        <v>2.0634999999999999</v>
      </c>
      <c r="S51" s="176">
        <v>2.0634999999999999</v>
      </c>
      <c r="T51" s="176">
        <v>2.0634999999999999</v>
      </c>
      <c r="U51" s="176">
        <v>2.0397499999999997</v>
      </c>
      <c r="V51" s="176">
        <v>2.0397499999999997</v>
      </c>
      <c r="W51" s="176">
        <v>2.0397499999999997</v>
      </c>
      <c r="X51" s="176">
        <v>2.0397499999999997</v>
      </c>
      <c r="Y51" s="116" t="s">
        <v>337</v>
      </c>
      <c r="Z51" s="116"/>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row>
    <row r="52" spans="2:142" s="170" customFormat="1" x14ac:dyDescent="0.45">
      <c r="B52" s="171"/>
      <c r="C52" s="171"/>
      <c r="D52" s="173" t="s">
        <v>418</v>
      </c>
      <c r="E52" s="172" t="s">
        <v>419</v>
      </c>
      <c r="F52" s="174" t="s">
        <v>273</v>
      </c>
      <c r="G52" s="175">
        <v>31</v>
      </c>
      <c r="H52" s="175">
        <v>53</v>
      </c>
      <c r="I52" s="175">
        <v>38</v>
      </c>
      <c r="J52" s="175">
        <v>42</v>
      </c>
      <c r="K52" s="270">
        <v>46</v>
      </c>
      <c r="L52" s="176">
        <v>9</v>
      </c>
      <c r="M52" s="176">
        <v>6</v>
      </c>
      <c r="N52" s="176">
        <v>5</v>
      </c>
      <c r="O52" s="176">
        <v>16</v>
      </c>
      <c r="P52" s="272">
        <f t="shared" si="0"/>
        <v>36</v>
      </c>
      <c r="Q52" s="176">
        <v>10.07775</v>
      </c>
      <c r="R52" s="176">
        <v>10.07775</v>
      </c>
      <c r="S52" s="176">
        <v>10.07775</v>
      </c>
      <c r="T52" s="176">
        <v>10.07775</v>
      </c>
      <c r="U52" s="176">
        <v>9.9622499999999992</v>
      </c>
      <c r="V52" s="176">
        <v>9.9622499999999992</v>
      </c>
      <c r="W52" s="176">
        <v>9.9622499999999992</v>
      </c>
      <c r="X52" s="176">
        <v>9.9622499999999992</v>
      </c>
      <c r="Y52" s="116" t="s">
        <v>337</v>
      </c>
      <c r="Z52" s="116"/>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row>
    <row r="53" spans="2:142" s="170" customFormat="1" x14ac:dyDescent="0.45">
      <c r="B53" s="171"/>
      <c r="C53" s="171"/>
      <c r="D53" s="173" t="s">
        <v>420</v>
      </c>
      <c r="E53" s="172" t="s">
        <v>421</v>
      </c>
      <c r="F53" s="174" t="s">
        <v>273</v>
      </c>
      <c r="G53" s="175">
        <v>67</v>
      </c>
      <c r="H53" s="175">
        <v>110</v>
      </c>
      <c r="I53" s="175">
        <v>57</v>
      </c>
      <c r="J53" s="175">
        <v>55</v>
      </c>
      <c r="K53" s="270">
        <v>67</v>
      </c>
      <c r="L53" s="176">
        <v>10</v>
      </c>
      <c r="M53" s="176">
        <v>22</v>
      </c>
      <c r="N53" s="176">
        <v>33</v>
      </c>
      <c r="O53" s="176">
        <v>18</v>
      </c>
      <c r="P53" s="272">
        <f t="shared" si="0"/>
        <v>83</v>
      </c>
      <c r="Q53" s="176">
        <v>17.084</v>
      </c>
      <c r="R53" s="176">
        <v>17.084</v>
      </c>
      <c r="S53" s="176">
        <v>17.084</v>
      </c>
      <c r="T53" s="176">
        <v>17.084</v>
      </c>
      <c r="U53" s="176">
        <v>16.887999999999998</v>
      </c>
      <c r="V53" s="176">
        <v>16.887999999999998</v>
      </c>
      <c r="W53" s="176">
        <v>16.887999999999998</v>
      </c>
      <c r="X53" s="176">
        <v>16.887999999999998</v>
      </c>
      <c r="Y53" s="116" t="s">
        <v>337</v>
      </c>
      <c r="Z53" s="116"/>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row>
    <row r="54" spans="2:142" s="170" customFormat="1" x14ac:dyDescent="0.45">
      <c r="B54" s="171"/>
      <c r="C54" s="171"/>
      <c r="D54" s="173" t="s">
        <v>422</v>
      </c>
      <c r="E54" s="172" t="s">
        <v>347</v>
      </c>
      <c r="F54" s="174" t="s">
        <v>273</v>
      </c>
      <c r="G54" s="175">
        <v>22</v>
      </c>
      <c r="H54" s="175">
        <v>28</v>
      </c>
      <c r="I54" s="175">
        <v>26</v>
      </c>
      <c r="J54" s="175">
        <v>20</v>
      </c>
      <c r="K54" s="270">
        <v>28</v>
      </c>
      <c r="L54" s="176">
        <v>2</v>
      </c>
      <c r="M54" s="176">
        <v>4</v>
      </c>
      <c r="N54" s="176">
        <v>6</v>
      </c>
      <c r="O54" s="176">
        <v>10</v>
      </c>
      <c r="P54" s="272">
        <f t="shared" si="0"/>
        <v>22</v>
      </c>
      <c r="Q54" s="176">
        <v>5.9507500000000002</v>
      </c>
      <c r="R54" s="176">
        <v>5.9507500000000002</v>
      </c>
      <c r="S54" s="176">
        <v>5.9507500000000002</v>
      </c>
      <c r="T54" s="176">
        <v>5.9507500000000002</v>
      </c>
      <c r="U54" s="176">
        <v>5.8825000000000003</v>
      </c>
      <c r="V54" s="176">
        <v>5.8825000000000003</v>
      </c>
      <c r="W54" s="176">
        <v>5.8825000000000003</v>
      </c>
      <c r="X54" s="176">
        <v>5.8825000000000003</v>
      </c>
      <c r="Y54" s="116" t="s">
        <v>337</v>
      </c>
      <c r="Z54" s="116"/>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row>
    <row r="55" spans="2:142" s="170" customFormat="1" x14ac:dyDescent="0.45">
      <c r="B55" s="171"/>
      <c r="C55" s="171"/>
      <c r="D55" s="173" t="s">
        <v>423</v>
      </c>
      <c r="E55" s="172" t="s">
        <v>424</v>
      </c>
      <c r="F55" s="174" t="s">
        <v>273</v>
      </c>
      <c r="G55" s="175">
        <v>8</v>
      </c>
      <c r="H55" s="175">
        <v>15</v>
      </c>
      <c r="I55" s="175">
        <v>10</v>
      </c>
      <c r="J55" s="175">
        <v>19</v>
      </c>
      <c r="K55" s="270">
        <v>15</v>
      </c>
      <c r="L55" s="176">
        <v>5</v>
      </c>
      <c r="M55" s="176">
        <v>4</v>
      </c>
      <c r="N55" s="176">
        <v>2</v>
      </c>
      <c r="O55" s="176">
        <v>3</v>
      </c>
      <c r="P55" s="272">
        <f t="shared" si="0"/>
        <v>14</v>
      </c>
      <c r="Q55" s="176">
        <v>3.2152500000000002</v>
      </c>
      <c r="R55" s="176">
        <v>3.2152500000000002</v>
      </c>
      <c r="S55" s="176">
        <v>3.2152500000000002</v>
      </c>
      <c r="T55" s="176">
        <v>3.2152500000000002</v>
      </c>
      <c r="U55" s="176">
        <v>3.1782500000000002</v>
      </c>
      <c r="V55" s="176">
        <v>3.1782500000000002</v>
      </c>
      <c r="W55" s="176">
        <v>3.1782500000000002</v>
      </c>
      <c r="X55" s="176">
        <v>3.1782500000000002</v>
      </c>
      <c r="Y55" s="116" t="s">
        <v>337</v>
      </c>
      <c r="Z55" s="116"/>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row>
    <row r="56" spans="2:142" s="170" customFormat="1" x14ac:dyDescent="0.45">
      <c r="B56" s="171"/>
      <c r="C56" s="171"/>
      <c r="D56" s="173" t="s">
        <v>425</v>
      </c>
      <c r="E56" s="172" t="s">
        <v>426</v>
      </c>
      <c r="F56" s="174" t="s">
        <v>273</v>
      </c>
      <c r="G56" s="175">
        <v>19</v>
      </c>
      <c r="H56" s="175">
        <v>27</v>
      </c>
      <c r="I56" s="175">
        <v>54</v>
      </c>
      <c r="J56" s="175">
        <v>22</v>
      </c>
      <c r="K56" s="270">
        <v>62</v>
      </c>
      <c r="L56" s="176">
        <v>8</v>
      </c>
      <c r="M56" s="176">
        <v>9</v>
      </c>
      <c r="N56" s="176">
        <v>5</v>
      </c>
      <c r="O56" s="176">
        <v>5</v>
      </c>
      <c r="P56" s="272">
        <f t="shared" si="0"/>
        <v>27</v>
      </c>
      <c r="Q56" s="176">
        <v>8.83</v>
      </c>
      <c r="R56" s="176">
        <v>8.83</v>
      </c>
      <c r="S56" s="176">
        <v>8.83</v>
      </c>
      <c r="T56" s="176">
        <v>8.83</v>
      </c>
      <c r="U56" s="176">
        <v>8.7287499999999998</v>
      </c>
      <c r="V56" s="176">
        <v>8.7287499999999998</v>
      </c>
      <c r="W56" s="176">
        <v>8.7287499999999998</v>
      </c>
      <c r="X56" s="176">
        <v>8.7287499999999998</v>
      </c>
      <c r="Y56" s="116" t="s">
        <v>337</v>
      </c>
      <c r="Z56" s="116"/>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row>
    <row r="57" spans="2:142" s="170" customFormat="1" x14ac:dyDescent="0.45">
      <c r="B57" s="171"/>
      <c r="C57" s="171"/>
      <c r="D57" s="173" t="s">
        <v>427</v>
      </c>
      <c r="E57" s="172" t="s">
        <v>428</v>
      </c>
      <c r="F57" s="174" t="s">
        <v>273</v>
      </c>
      <c r="G57" s="175">
        <v>2</v>
      </c>
      <c r="H57" s="175">
        <v>7</v>
      </c>
      <c r="I57" s="175">
        <v>7</v>
      </c>
      <c r="J57" s="175">
        <v>9</v>
      </c>
      <c r="K57" s="270">
        <v>9</v>
      </c>
      <c r="L57" s="176">
        <v>2</v>
      </c>
      <c r="M57" s="176">
        <v>2</v>
      </c>
      <c r="N57" s="176">
        <v>0</v>
      </c>
      <c r="O57" s="176">
        <v>0</v>
      </c>
      <c r="P57" s="272">
        <f t="shared" si="0"/>
        <v>4</v>
      </c>
      <c r="Q57" s="176">
        <v>1.63175</v>
      </c>
      <c r="R57" s="176">
        <v>1.63175</v>
      </c>
      <c r="S57" s="176">
        <v>1.63175</v>
      </c>
      <c r="T57" s="176">
        <v>1.63175</v>
      </c>
      <c r="U57" s="176">
        <v>1.613</v>
      </c>
      <c r="V57" s="176">
        <v>1.613</v>
      </c>
      <c r="W57" s="176">
        <v>1.613</v>
      </c>
      <c r="X57" s="176">
        <v>1.613</v>
      </c>
      <c r="Y57" s="116" t="s">
        <v>337</v>
      </c>
      <c r="Z57" s="116"/>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row>
    <row r="58" spans="2:142" s="170" customFormat="1" x14ac:dyDescent="0.45">
      <c r="B58" s="171"/>
      <c r="C58" s="171"/>
      <c r="D58" s="173" t="s">
        <v>429</v>
      </c>
      <c r="E58" s="172" t="s">
        <v>345</v>
      </c>
      <c r="F58" s="174" t="s">
        <v>273</v>
      </c>
      <c r="G58" s="175">
        <v>4</v>
      </c>
      <c r="H58" s="175">
        <v>15</v>
      </c>
      <c r="I58" s="175">
        <v>20</v>
      </c>
      <c r="J58" s="175">
        <v>30</v>
      </c>
      <c r="K58" s="270">
        <v>32</v>
      </c>
      <c r="L58" s="176">
        <v>10</v>
      </c>
      <c r="M58" s="176">
        <v>3</v>
      </c>
      <c r="N58" s="176">
        <v>5</v>
      </c>
      <c r="O58" s="176">
        <v>11</v>
      </c>
      <c r="P58" s="272">
        <f t="shared" si="0"/>
        <v>29</v>
      </c>
      <c r="Q58" s="176">
        <v>4.8469999999999995</v>
      </c>
      <c r="R58" s="176">
        <v>4.8469999999999995</v>
      </c>
      <c r="S58" s="176">
        <v>4.8469999999999995</v>
      </c>
      <c r="T58" s="176">
        <v>4.8469999999999995</v>
      </c>
      <c r="U58" s="176">
        <v>4.7914999999999992</v>
      </c>
      <c r="V58" s="176">
        <v>4.7914999999999992</v>
      </c>
      <c r="W58" s="176">
        <v>4.7914999999999992</v>
      </c>
      <c r="X58" s="176">
        <v>4.7914999999999992</v>
      </c>
      <c r="Y58" s="116" t="s">
        <v>337</v>
      </c>
      <c r="Z58" s="116"/>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row>
    <row r="59" spans="2:142" s="170" customFormat="1" x14ac:dyDescent="0.45">
      <c r="B59" s="171"/>
      <c r="C59" s="171"/>
      <c r="D59" s="173" t="s">
        <v>430</v>
      </c>
      <c r="E59" s="172" t="s">
        <v>431</v>
      </c>
      <c r="F59" s="174" t="s">
        <v>273</v>
      </c>
      <c r="G59" s="175">
        <v>0</v>
      </c>
      <c r="H59" s="175">
        <v>0</v>
      </c>
      <c r="I59" s="175">
        <v>1</v>
      </c>
      <c r="J59" s="175">
        <v>1</v>
      </c>
      <c r="K59" s="270">
        <v>0</v>
      </c>
      <c r="L59" s="176">
        <v>0</v>
      </c>
      <c r="M59" s="176">
        <v>0</v>
      </c>
      <c r="N59" s="176">
        <v>0</v>
      </c>
      <c r="O59" s="176">
        <v>1</v>
      </c>
      <c r="P59" s="272">
        <f t="shared" si="0"/>
        <v>1</v>
      </c>
      <c r="Q59" s="176">
        <v>9.6250000000000002E-2</v>
      </c>
      <c r="R59" s="176">
        <v>9.6250000000000002E-2</v>
      </c>
      <c r="S59" s="176">
        <v>9.6250000000000002E-2</v>
      </c>
      <c r="T59" s="176">
        <v>9.6250000000000002E-2</v>
      </c>
      <c r="U59" s="176">
        <v>9.5250000000000001E-2</v>
      </c>
      <c r="V59" s="176">
        <v>9.5250000000000001E-2</v>
      </c>
      <c r="W59" s="176">
        <v>9.5250000000000001E-2</v>
      </c>
      <c r="X59" s="176">
        <v>9.5250000000000001E-2</v>
      </c>
      <c r="Y59" s="116" t="s">
        <v>337</v>
      </c>
      <c r="Z59" s="116"/>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row>
    <row r="60" spans="2:142" s="170" customFormat="1" x14ac:dyDescent="0.45">
      <c r="B60" s="171"/>
      <c r="C60" s="171"/>
      <c r="D60" s="173" t="s">
        <v>432</v>
      </c>
      <c r="E60" s="172" t="s">
        <v>433</v>
      </c>
      <c r="F60" s="174" t="s">
        <v>273</v>
      </c>
      <c r="G60" s="175">
        <v>1</v>
      </c>
      <c r="H60" s="175">
        <v>0</v>
      </c>
      <c r="I60" s="175">
        <v>0</v>
      </c>
      <c r="J60" s="175">
        <v>1</v>
      </c>
      <c r="K60" s="270">
        <v>2</v>
      </c>
      <c r="L60" s="176">
        <v>0</v>
      </c>
      <c r="M60" s="176">
        <v>0</v>
      </c>
      <c r="N60" s="176">
        <v>5</v>
      </c>
      <c r="O60" s="176">
        <v>0</v>
      </c>
      <c r="P60" s="272">
        <f t="shared" si="0"/>
        <v>5</v>
      </c>
      <c r="Q60" s="176">
        <v>0.192</v>
      </c>
      <c r="R60" s="176">
        <v>0.192</v>
      </c>
      <c r="S60" s="176">
        <v>0.192</v>
      </c>
      <c r="T60" s="176">
        <v>0.192</v>
      </c>
      <c r="U60" s="176">
        <v>0.19</v>
      </c>
      <c r="V60" s="176">
        <v>0.19</v>
      </c>
      <c r="W60" s="176">
        <v>0.19</v>
      </c>
      <c r="X60" s="176">
        <v>0.19</v>
      </c>
      <c r="Y60" s="116" t="s">
        <v>337</v>
      </c>
      <c r="Z60" s="116"/>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row>
    <row r="61" spans="2:142" s="170" customFormat="1" x14ac:dyDescent="0.45">
      <c r="B61" s="171"/>
      <c r="C61" s="171"/>
      <c r="D61" s="173" t="s">
        <v>434</v>
      </c>
      <c r="E61" s="172" t="s">
        <v>435</v>
      </c>
      <c r="F61" s="174" t="s">
        <v>273</v>
      </c>
      <c r="G61" s="175">
        <v>2</v>
      </c>
      <c r="H61" s="175">
        <v>3</v>
      </c>
      <c r="I61" s="175">
        <v>1</v>
      </c>
      <c r="J61" s="175">
        <v>2</v>
      </c>
      <c r="K61" s="270">
        <v>1</v>
      </c>
      <c r="L61" s="176">
        <v>0</v>
      </c>
      <c r="M61" s="176">
        <v>0</v>
      </c>
      <c r="N61" s="176">
        <v>1</v>
      </c>
      <c r="O61" s="176">
        <v>0</v>
      </c>
      <c r="P61" s="272">
        <f t="shared" si="0"/>
        <v>1</v>
      </c>
      <c r="Q61" s="176">
        <v>0.432</v>
      </c>
      <c r="R61" s="176">
        <v>0.43225000000000002</v>
      </c>
      <c r="S61" s="176">
        <v>0.43225000000000002</v>
      </c>
      <c r="T61" s="176">
        <v>0.43225000000000002</v>
      </c>
      <c r="U61" s="176">
        <v>0.42699999999999999</v>
      </c>
      <c r="V61" s="176">
        <v>0.42725000000000002</v>
      </c>
      <c r="W61" s="176">
        <v>0.42725000000000002</v>
      </c>
      <c r="X61" s="176">
        <v>0.42725000000000002</v>
      </c>
      <c r="Y61" s="116" t="s">
        <v>337</v>
      </c>
      <c r="Z61" s="116"/>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row>
    <row r="62" spans="2:142" s="170" customFormat="1" x14ac:dyDescent="0.45">
      <c r="B62" s="171"/>
      <c r="C62" s="171"/>
      <c r="D62" s="173" t="s">
        <v>436</v>
      </c>
      <c r="E62" s="172" t="s">
        <v>437</v>
      </c>
      <c r="F62" s="174" t="s">
        <v>184</v>
      </c>
      <c r="G62" s="175">
        <v>0</v>
      </c>
      <c r="H62" s="175">
        <v>0</v>
      </c>
      <c r="I62" s="175">
        <v>0</v>
      </c>
      <c r="J62" s="175">
        <v>0</v>
      </c>
      <c r="K62" s="270">
        <v>0</v>
      </c>
      <c r="L62" s="176">
        <v>0</v>
      </c>
      <c r="M62" s="176">
        <v>0</v>
      </c>
      <c r="N62" s="176">
        <v>0</v>
      </c>
      <c r="O62" s="176">
        <v>0</v>
      </c>
      <c r="P62" s="272">
        <f t="shared" si="0"/>
        <v>0</v>
      </c>
      <c r="Q62" s="176">
        <v>0</v>
      </c>
      <c r="R62" s="176">
        <v>0</v>
      </c>
      <c r="S62" s="176">
        <v>0</v>
      </c>
      <c r="T62" s="176">
        <v>0</v>
      </c>
      <c r="U62" s="176">
        <v>0</v>
      </c>
      <c r="V62" s="176">
        <v>0</v>
      </c>
      <c r="W62" s="176">
        <v>0</v>
      </c>
      <c r="X62" s="176">
        <v>0</v>
      </c>
      <c r="Y62" s="116" t="s">
        <v>337</v>
      </c>
      <c r="Z62" s="116"/>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row>
    <row r="63" spans="2:142" s="170" customFormat="1" x14ac:dyDescent="0.45">
      <c r="B63" s="171"/>
      <c r="C63" s="171"/>
      <c r="D63" s="173" t="s">
        <v>438</v>
      </c>
      <c r="E63" s="172" t="s">
        <v>439</v>
      </c>
      <c r="F63" s="174" t="s">
        <v>273</v>
      </c>
      <c r="G63" s="175">
        <v>51</v>
      </c>
      <c r="H63" s="175">
        <v>50</v>
      </c>
      <c r="I63" s="175">
        <v>38</v>
      </c>
      <c r="J63" s="175">
        <v>48</v>
      </c>
      <c r="K63" s="270">
        <v>61</v>
      </c>
      <c r="L63" s="176">
        <v>20</v>
      </c>
      <c r="M63" s="176">
        <v>9</v>
      </c>
      <c r="N63" s="176">
        <v>18</v>
      </c>
      <c r="O63" s="176">
        <v>7</v>
      </c>
      <c r="P63" s="272">
        <f t="shared" si="0"/>
        <v>54</v>
      </c>
      <c r="Q63" s="176">
        <v>11.518750000000001</v>
      </c>
      <c r="R63" s="176">
        <v>11.518750000000001</v>
      </c>
      <c r="S63" s="176">
        <v>11.518750000000001</v>
      </c>
      <c r="T63" s="176">
        <v>11.518750000000001</v>
      </c>
      <c r="U63" s="176">
        <v>11.298</v>
      </c>
      <c r="V63" s="176">
        <v>11.298</v>
      </c>
      <c r="W63" s="176">
        <v>11.298</v>
      </c>
      <c r="X63" s="176">
        <v>11.298</v>
      </c>
      <c r="Y63" s="116" t="s">
        <v>337</v>
      </c>
      <c r="Z63" s="116"/>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row>
    <row r="64" spans="2:142" s="170" customFormat="1" x14ac:dyDescent="0.45">
      <c r="B64" s="171"/>
      <c r="C64" s="171"/>
      <c r="D64" s="173" t="s">
        <v>440</v>
      </c>
      <c r="E64" s="172" t="s">
        <v>441</v>
      </c>
      <c r="F64" s="174" t="s">
        <v>273</v>
      </c>
      <c r="G64" s="175">
        <v>72</v>
      </c>
      <c r="H64" s="175">
        <v>52</v>
      </c>
      <c r="I64" s="175">
        <v>38</v>
      </c>
      <c r="J64" s="175">
        <v>62</v>
      </c>
      <c r="K64" s="270">
        <v>45</v>
      </c>
      <c r="L64" s="176">
        <v>17</v>
      </c>
      <c r="M64" s="176">
        <v>10</v>
      </c>
      <c r="N64" s="176">
        <v>23</v>
      </c>
      <c r="O64" s="176">
        <v>4</v>
      </c>
      <c r="P64" s="272">
        <f t="shared" si="0"/>
        <v>54</v>
      </c>
      <c r="Q64" s="176">
        <v>12.90875</v>
      </c>
      <c r="R64" s="176">
        <v>12.90875</v>
      </c>
      <c r="S64" s="176">
        <v>12.90875</v>
      </c>
      <c r="T64" s="176">
        <v>12.90875</v>
      </c>
      <c r="U64" s="176">
        <v>12.76075</v>
      </c>
      <c r="V64" s="176">
        <v>12.76075</v>
      </c>
      <c r="W64" s="176">
        <v>12.76075</v>
      </c>
      <c r="X64" s="176">
        <v>12.76075</v>
      </c>
      <c r="Y64" s="116" t="s">
        <v>337</v>
      </c>
      <c r="Z64" s="116"/>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row>
    <row r="65" spans="1:142" s="170" customFormat="1" x14ac:dyDescent="0.45">
      <c r="B65" s="171"/>
      <c r="C65" s="171"/>
      <c r="D65" s="173" t="s">
        <v>442</v>
      </c>
      <c r="E65" s="172" t="s">
        <v>350</v>
      </c>
      <c r="F65" s="174" t="s">
        <v>273</v>
      </c>
      <c r="G65" s="175">
        <v>1</v>
      </c>
      <c r="H65" s="175">
        <v>12</v>
      </c>
      <c r="I65" s="175">
        <v>13</v>
      </c>
      <c r="J65" s="175">
        <v>19</v>
      </c>
      <c r="K65" s="270">
        <v>24</v>
      </c>
      <c r="L65" s="176">
        <v>3</v>
      </c>
      <c r="M65" s="176">
        <v>0</v>
      </c>
      <c r="N65" s="176">
        <v>0</v>
      </c>
      <c r="O65" s="176">
        <v>0</v>
      </c>
      <c r="P65" s="272">
        <f t="shared" si="0"/>
        <v>3</v>
      </c>
      <c r="Q65" s="176">
        <v>3.3115000000000001</v>
      </c>
      <c r="R65" s="176">
        <v>3.3115000000000001</v>
      </c>
      <c r="S65" s="176">
        <v>3.3115000000000001</v>
      </c>
      <c r="T65" s="176">
        <v>3.3115000000000001</v>
      </c>
      <c r="U65" s="176">
        <v>3.2735000000000003</v>
      </c>
      <c r="V65" s="176">
        <v>3.2735000000000003</v>
      </c>
      <c r="W65" s="176">
        <v>3.2735000000000003</v>
      </c>
      <c r="X65" s="176">
        <v>3.2735000000000003</v>
      </c>
      <c r="Y65" s="116" t="s">
        <v>337</v>
      </c>
      <c r="Z65" s="116"/>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row>
    <row r="66" spans="1:142" s="170" customFormat="1" x14ac:dyDescent="0.45">
      <c r="B66" s="171"/>
      <c r="C66" s="171" t="s">
        <v>443</v>
      </c>
      <c r="D66" s="173" t="s">
        <v>444</v>
      </c>
      <c r="E66" s="172" t="s">
        <v>352</v>
      </c>
      <c r="F66" s="174" t="s">
        <v>273</v>
      </c>
      <c r="G66" s="175">
        <v>3</v>
      </c>
      <c r="H66" s="175">
        <v>6</v>
      </c>
      <c r="I66" s="175">
        <v>8</v>
      </c>
      <c r="J66" s="175">
        <v>2</v>
      </c>
      <c r="K66" s="270">
        <v>4</v>
      </c>
      <c r="L66" s="176">
        <v>1</v>
      </c>
      <c r="M66" s="176">
        <v>0</v>
      </c>
      <c r="N66" s="176">
        <v>0</v>
      </c>
      <c r="O66" s="176">
        <v>1</v>
      </c>
      <c r="P66" s="272">
        <f t="shared" si="0"/>
        <v>2</v>
      </c>
      <c r="Q66" s="176">
        <v>1.1357499999999998</v>
      </c>
      <c r="R66" s="176">
        <v>1.1357499999999998</v>
      </c>
      <c r="S66" s="176">
        <v>1.1357499999999998</v>
      </c>
      <c r="T66" s="176">
        <v>1.1357499999999998</v>
      </c>
      <c r="U66" s="176">
        <v>1.1232499999999999</v>
      </c>
      <c r="V66" s="176">
        <v>1.1232499999999999</v>
      </c>
      <c r="W66" s="176">
        <v>1.1232499999999999</v>
      </c>
      <c r="X66" s="176">
        <v>1.1232499999999999</v>
      </c>
      <c r="Y66" s="116" t="s">
        <v>337</v>
      </c>
      <c r="Z66" s="116"/>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row>
    <row r="67" spans="1:142" s="170" customFormat="1" x14ac:dyDescent="0.45">
      <c r="B67" s="171"/>
      <c r="C67" s="171" t="s">
        <v>445</v>
      </c>
      <c r="D67" s="173" t="s">
        <v>446</v>
      </c>
      <c r="E67" s="172" t="s">
        <v>354</v>
      </c>
      <c r="F67" s="174" t="s">
        <v>273</v>
      </c>
      <c r="G67" s="175">
        <v>1</v>
      </c>
      <c r="H67" s="175">
        <v>0</v>
      </c>
      <c r="I67" s="175">
        <v>0</v>
      </c>
      <c r="J67" s="175">
        <v>0</v>
      </c>
      <c r="K67" s="270">
        <v>2</v>
      </c>
      <c r="L67" s="176">
        <v>0</v>
      </c>
      <c r="M67" s="176">
        <v>0</v>
      </c>
      <c r="N67" s="176">
        <v>0</v>
      </c>
      <c r="O67" s="176">
        <v>0</v>
      </c>
      <c r="P67" s="272">
        <f t="shared" si="0"/>
        <v>0</v>
      </c>
      <c r="Q67" s="176">
        <v>0.14949999999999999</v>
      </c>
      <c r="R67" s="176">
        <v>0.14949999999999999</v>
      </c>
      <c r="S67" s="176">
        <v>0.14949999999999999</v>
      </c>
      <c r="T67" s="176">
        <v>0.14949999999999999</v>
      </c>
      <c r="U67" s="176">
        <v>0.14874999999999999</v>
      </c>
      <c r="V67" s="176">
        <v>0.14874999999999999</v>
      </c>
      <c r="W67" s="176">
        <v>0.14874999999999999</v>
      </c>
      <c r="X67" s="176">
        <v>0.14874999999999999</v>
      </c>
      <c r="Y67" s="116" t="s">
        <v>337</v>
      </c>
      <c r="Z67" s="116"/>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row>
    <row r="68" spans="1:142" s="170" customFormat="1" x14ac:dyDescent="0.45">
      <c r="B68" s="171"/>
      <c r="C68" s="171" t="s">
        <v>447</v>
      </c>
      <c r="D68" s="173" t="s">
        <v>448</v>
      </c>
      <c r="E68" s="172" t="s">
        <v>356</v>
      </c>
      <c r="F68" s="174" t="s">
        <v>273</v>
      </c>
      <c r="G68" s="175">
        <v>5</v>
      </c>
      <c r="H68" s="175">
        <v>6</v>
      </c>
      <c r="I68" s="175">
        <v>1</v>
      </c>
      <c r="J68" s="175">
        <v>3</v>
      </c>
      <c r="K68" s="270">
        <v>5</v>
      </c>
      <c r="L68" s="176">
        <v>1</v>
      </c>
      <c r="M68" s="176">
        <v>2</v>
      </c>
      <c r="N68" s="176">
        <v>4</v>
      </c>
      <c r="O68" s="176">
        <v>4</v>
      </c>
      <c r="P68" s="272">
        <f t="shared" si="0"/>
        <v>11</v>
      </c>
      <c r="Q68" s="176">
        <v>1</v>
      </c>
      <c r="R68" s="176">
        <v>1</v>
      </c>
      <c r="S68" s="176">
        <v>1</v>
      </c>
      <c r="T68" s="176">
        <v>1</v>
      </c>
      <c r="U68" s="176">
        <v>1</v>
      </c>
      <c r="V68" s="176">
        <v>1</v>
      </c>
      <c r="W68" s="176">
        <v>1</v>
      </c>
      <c r="X68" s="176">
        <v>1</v>
      </c>
      <c r="Y68" s="116" t="s">
        <v>337</v>
      </c>
      <c r="Z68" s="116"/>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row>
    <row r="69" spans="1:142" s="170" customFormat="1" x14ac:dyDescent="0.45">
      <c r="B69" s="171"/>
      <c r="C69" s="171" t="s">
        <v>449</v>
      </c>
      <c r="D69" s="173" t="s">
        <v>450</v>
      </c>
      <c r="E69" s="172" t="s">
        <v>358</v>
      </c>
      <c r="F69" s="174" t="s">
        <v>273</v>
      </c>
      <c r="G69" s="175">
        <v>1</v>
      </c>
      <c r="H69" s="175">
        <v>1</v>
      </c>
      <c r="I69" s="175">
        <v>1</v>
      </c>
      <c r="J69" s="175">
        <v>1</v>
      </c>
      <c r="K69" s="270">
        <v>0</v>
      </c>
      <c r="L69" s="176">
        <v>1</v>
      </c>
      <c r="M69" s="176">
        <v>1</v>
      </c>
      <c r="N69" s="176">
        <v>1</v>
      </c>
      <c r="O69" s="176">
        <v>0</v>
      </c>
      <c r="P69" s="272">
        <f t="shared" si="0"/>
        <v>3</v>
      </c>
      <c r="Q69" s="176">
        <v>0.19925000000000001</v>
      </c>
      <c r="R69" s="176">
        <v>0.19925000000000001</v>
      </c>
      <c r="S69" s="176">
        <v>0.19925000000000001</v>
      </c>
      <c r="T69" s="176">
        <v>0.19925000000000001</v>
      </c>
      <c r="U69" s="176">
        <v>0.19875000000000001</v>
      </c>
      <c r="V69" s="176">
        <v>0.19875000000000001</v>
      </c>
      <c r="W69" s="176">
        <v>0.19875000000000001</v>
      </c>
      <c r="X69" s="176">
        <v>0.19875000000000001</v>
      </c>
      <c r="Y69" s="116" t="s">
        <v>337</v>
      </c>
      <c r="Z69" s="116"/>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row>
    <row r="70" spans="1:142" s="170" customFormat="1" x14ac:dyDescent="0.45">
      <c r="B70" s="171"/>
      <c r="C70" s="171" t="s">
        <v>451</v>
      </c>
      <c r="D70" s="173" t="s">
        <v>452</v>
      </c>
      <c r="E70" s="172" t="s">
        <v>360</v>
      </c>
      <c r="F70" s="174" t="s">
        <v>184</v>
      </c>
      <c r="G70" s="175">
        <v>0</v>
      </c>
      <c r="H70" s="175">
        <v>0</v>
      </c>
      <c r="I70" s="175">
        <v>0</v>
      </c>
      <c r="J70" s="175">
        <v>0</v>
      </c>
      <c r="K70" s="270">
        <v>0</v>
      </c>
      <c r="L70" s="176">
        <v>0</v>
      </c>
      <c r="M70" s="176">
        <v>0</v>
      </c>
      <c r="N70" s="176">
        <v>0</v>
      </c>
      <c r="O70" s="176">
        <v>0</v>
      </c>
      <c r="P70" s="272">
        <f t="shared" si="0"/>
        <v>0</v>
      </c>
      <c r="Q70" s="176">
        <v>0</v>
      </c>
      <c r="R70" s="176">
        <v>0</v>
      </c>
      <c r="S70" s="176">
        <v>0</v>
      </c>
      <c r="T70" s="176">
        <v>0</v>
      </c>
      <c r="U70" s="176">
        <v>0</v>
      </c>
      <c r="V70" s="176">
        <v>0</v>
      </c>
      <c r="W70" s="176">
        <v>0</v>
      </c>
      <c r="X70" s="176">
        <v>0</v>
      </c>
      <c r="Y70" s="116" t="s">
        <v>337</v>
      </c>
      <c r="Z70" s="116"/>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row>
    <row r="71" spans="1:142" s="170" customFormat="1" x14ac:dyDescent="0.45">
      <c r="B71" s="171"/>
      <c r="C71" s="171" t="s">
        <v>453</v>
      </c>
      <c r="D71" s="173" t="s">
        <v>454</v>
      </c>
      <c r="E71" s="172" t="s">
        <v>362</v>
      </c>
      <c r="F71" s="174" t="s">
        <v>273</v>
      </c>
      <c r="G71" s="175">
        <v>371</v>
      </c>
      <c r="H71" s="175">
        <v>401</v>
      </c>
      <c r="I71" s="175">
        <v>350</v>
      </c>
      <c r="J71" s="175">
        <v>286</v>
      </c>
      <c r="K71" s="270">
        <v>291</v>
      </c>
      <c r="L71" s="176">
        <v>39</v>
      </c>
      <c r="M71" s="176">
        <v>55</v>
      </c>
      <c r="N71" s="176">
        <v>123</v>
      </c>
      <c r="O71" s="176">
        <v>62</v>
      </c>
      <c r="P71" s="272">
        <f t="shared" si="0"/>
        <v>279</v>
      </c>
      <c r="Q71" s="176">
        <v>83.903750000000002</v>
      </c>
      <c r="R71" s="176">
        <v>83.903750000000002</v>
      </c>
      <c r="S71" s="176">
        <v>83.903750000000002</v>
      </c>
      <c r="T71" s="176">
        <v>83.903750000000002</v>
      </c>
      <c r="U71" s="176">
        <v>82.969000000000008</v>
      </c>
      <c r="V71" s="176">
        <v>82.969000000000008</v>
      </c>
      <c r="W71" s="176">
        <v>82.969000000000008</v>
      </c>
      <c r="X71" s="176">
        <v>82.969000000000008</v>
      </c>
      <c r="Y71" s="116" t="s">
        <v>337</v>
      </c>
      <c r="Z71" s="116"/>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row>
    <row r="72" spans="1:142" s="170" customFormat="1" x14ac:dyDescent="0.45">
      <c r="A72" s="170" t="s">
        <v>333</v>
      </c>
      <c r="B72" s="171" t="s">
        <v>455</v>
      </c>
      <c r="C72" s="171" t="s">
        <v>456</v>
      </c>
      <c r="D72" s="173" t="s">
        <v>457</v>
      </c>
      <c r="E72" s="172" t="s">
        <v>365</v>
      </c>
      <c r="F72" s="174" t="s">
        <v>273</v>
      </c>
      <c r="G72" s="175">
        <v>1</v>
      </c>
      <c r="H72" s="175">
        <v>1</v>
      </c>
      <c r="I72" s="175">
        <v>0</v>
      </c>
      <c r="J72" s="175">
        <v>1</v>
      </c>
      <c r="K72" s="270">
        <v>0</v>
      </c>
      <c r="L72" s="175">
        <v>0</v>
      </c>
      <c r="M72" s="175">
        <v>0</v>
      </c>
      <c r="N72" s="175">
        <v>0</v>
      </c>
      <c r="O72" s="175">
        <v>0</v>
      </c>
      <c r="P72" s="272">
        <f t="shared" si="0"/>
        <v>0</v>
      </c>
      <c r="Q72" s="176">
        <v>0.14349999999999999</v>
      </c>
      <c r="R72" s="176">
        <v>0.14349999999999999</v>
      </c>
      <c r="S72" s="176">
        <v>0.14349999999999999</v>
      </c>
      <c r="T72" s="176">
        <v>0.14349999999999999</v>
      </c>
      <c r="U72" s="176">
        <v>0.14274999999999999</v>
      </c>
      <c r="V72" s="176">
        <v>0.14274999999999999</v>
      </c>
      <c r="W72" s="176">
        <v>0.14274999999999999</v>
      </c>
      <c r="X72" s="176">
        <v>0.14274999999999999</v>
      </c>
      <c r="Y72" s="116" t="s">
        <v>337</v>
      </c>
      <c r="Z72" s="116"/>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row>
    <row r="73" spans="1:142" s="170" customFormat="1" x14ac:dyDescent="0.45">
      <c r="B73" s="171"/>
      <c r="C73" s="171"/>
      <c r="D73" s="173" t="s">
        <v>458</v>
      </c>
      <c r="E73" s="172" t="s">
        <v>367</v>
      </c>
      <c r="F73" s="174" t="s">
        <v>273</v>
      </c>
      <c r="G73" s="175">
        <v>9</v>
      </c>
      <c r="H73" s="175">
        <v>5</v>
      </c>
      <c r="I73" s="175">
        <v>4</v>
      </c>
      <c r="J73" s="175">
        <v>2</v>
      </c>
      <c r="K73" s="270">
        <v>5</v>
      </c>
      <c r="L73" s="177">
        <v>2</v>
      </c>
      <c r="M73" s="177">
        <v>2</v>
      </c>
      <c r="N73" s="177">
        <v>0</v>
      </c>
      <c r="O73" s="177">
        <v>0</v>
      </c>
      <c r="P73" s="272">
        <f t="shared" ref="P73:P136" si="1">SUM(L73:O73)</f>
        <v>4</v>
      </c>
      <c r="Q73" s="176">
        <v>1.1964999999999999</v>
      </c>
      <c r="R73" s="176">
        <v>1.1964999999999999</v>
      </c>
      <c r="S73" s="176">
        <v>1.1964999999999999</v>
      </c>
      <c r="T73" s="176">
        <v>1.1964999999999999</v>
      </c>
      <c r="U73" s="176">
        <v>1.1964999999999999</v>
      </c>
      <c r="V73" s="176">
        <v>1.1964999999999999</v>
      </c>
      <c r="W73" s="176">
        <v>1.1964999999999999</v>
      </c>
      <c r="X73" s="176">
        <v>1.1964999999999999</v>
      </c>
      <c r="Y73" s="116" t="s">
        <v>337</v>
      </c>
      <c r="Z73" s="116"/>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row>
    <row r="74" spans="1:142" s="170" customFormat="1" x14ac:dyDescent="0.45">
      <c r="B74" s="171"/>
      <c r="C74" s="171"/>
      <c r="D74" s="173" t="s">
        <v>459</v>
      </c>
      <c r="E74" s="172" t="s">
        <v>369</v>
      </c>
      <c r="F74" s="174" t="s">
        <v>273</v>
      </c>
      <c r="G74" s="175">
        <v>17</v>
      </c>
      <c r="H74" s="175">
        <v>24</v>
      </c>
      <c r="I74" s="175">
        <v>22</v>
      </c>
      <c r="J74" s="175">
        <v>27</v>
      </c>
      <c r="K74" s="270">
        <v>16</v>
      </c>
      <c r="L74" s="177">
        <v>6</v>
      </c>
      <c r="M74" s="177">
        <v>8</v>
      </c>
      <c r="N74" s="177">
        <v>2</v>
      </c>
      <c r="O74" s="177">
        <v>5</v>
      </c>
      <c r="P74" s="272">
        <f t="shared" si="1"/>
        <v>21</v>
      </c>
      <c r="Q74" s="176">
        <v>5.0729999999999995</v>
      </c>
      <c r="R74" s="176">
        <v>5.0729999999999995</v>
      </c>
      <c r="S74" s="176">
        <v>5.0729999999999995</v>
      </c>
      <c r="T74" s="176">
        <v>5.0729999999999995</v>
      </c>
      <c r="U74" s="176">
        <v>5.0729999999999995</v>
      </c>
      <c r="V74" s="176">
        <v>5.0729999999999995</v>
      </c>
      <c r="W74" s="176">
        <v>5.0729999999999995</v>
      </c>
      <c r="X74" s="176">
        <v>5.0729999999999995</v>
      </c>
      <c r="Y74" s="116" t="s">
        <v>337</v>
      </c>
      <c r="Z74" s="116"/>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row>
    <row r="75" spans="1:142" s="170" customFormat="1" x14ac:dyDescent="0.45">
      <c r="B75" s="171"/>
      <c r="C75" s="171"/>
      <c r="D75" s="173" t="s">
        <v>460</v>
      </c>
      <c r="E75" s="172" t="s">
        <v>371</v>
      </c>
      <c r="F75" s="174" t="s">
        <v>273</v>
      </c>
      <c r="G75" s="175">
        <v>1</v>
      </c>
      <c r="H75" s="175">
        <v>2</v>
      </c>
      <c r="I75" s="175">
        <v>0</v>
      </c>
      <c r="J75" s="175">
        <v>3</v>
      </c>
      <c r="K75" s="270">
        <v>1</v>
      </c>
      <c r="L75" s="177">
        <v>1</v>
      </c>
      <c r="M75" s="177">
        <v>0</v>
      </c>
      <c r="N75" s="177">
        <v>0</v>
      </c>
      <c r="O75" s="177">
        <v>0</v>
      </c>
      <c r="P75" s="272">
        <f t="shared" si="1"/>
        <v>1</v>
      </c>
      <c r="Q75" s="176">
        <v>0.35</v>
      </c>
      <c r="R75" s="176">
        <v>0.35</v>
      </c>
      <c r="S75" s="176">
        <v>0.35</v>
      </c>
      <c r="T75" s="176">
        <v>0.35</v>
      </c>
      <c r="U75" s="176">
        <v>0.35</v>
      </c>
      <c r="V75" s="176">
        <v>0.35</v>
      </c>
      <c r="W75" s="176">
        <v>0.35</v>
      </c>
      <c r="X75" s="176">
        <v>0.35</v>
      </c>
      <c r="Y75" s="116" t="s">
        <v>337</v>
      </c>
      <c r="Z75" s="116"/>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row>
    <row r="76" spans="1:142" s="170" customFormat="1" x14ac:dyDescent="0.45">
      <c r="B76" s="171"/>
      <c r="C76" s="171"/>
      <c r="D76" s="173" t="s">
        <v>461</v>
      </c>
      <c r="E76" s="172" t="s">
        <v>373</v>
      </c>
      <c r="F76" s="174" t="s">
        <v>273</v>
      </c>
      <c r="G76" s="175">
        <v>1</v>
      </c>
      <c r="H76" s="175">
        <v>0</v>
      </c>
      <c r="I76" s="175">
        <v>2</v>
      </c>
      <c r="J76" s="175">
        <v>1</v>
      </c>
      <c r="K76" s="270">
        <v>3</v>
      </c>
      <c r="L76" s="177">
        <v>0</v>
      </c>
      <c r="M76" s="177">
        <v>0</v>
      </c>
      <c r="N76" s="177">
        <v>0</v>
      </c>
      <c r="O76" s="177">
        <v>0</v>
      </c>
      <c r="P76" s="272">
        <f t="shared" si="1"/>
        <v>0</v>
      </c>
      <c r="Q76" s="176">
        <v>0.33499999999999996</v>
      </c>
      <c r="R76" s="176">
        <v>0.33499999999999996</v>
      </c>
      <c r="S76" s="176">
        <v>0.33499999999999996</v>
      </c>
      <c r="T76" s="176">
        <v>0.33499999999999996</v>
      </c>
      <c r="U76" s="176">
        <v>0.33299999999999996</v>
      </c>
      <c r="V76" s="176">
        <v>0.33299999999999996</v>
      </c>
      <c r="W76" s="176">
        <v>0.33299999999999996</v>
      </c>
      <c r="X76" s="176">
        <v>0.33299999999999996</v>
      </c>
      <c r="Y76" s="116" t="s">
        <v>337</v>
      </c>
      <c r="Z76" s="116"/>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row>
    <row r="77" spans="1:142" s="170" customFormat="1" x14ac:dyDescent="0.45">
      <c r="B77" s="171"/>
      <c r="C77" s="171" t="s">
        <v>462</v>
      </c>
      <c r="D77" s="173" t="s">
        <v>463</v>
      </c>
      <c r="E77" s="172" t="s">
        <v>464</v>
      </c>
      <c r="F77" s="174" t="s">
        <v>184</v>
      </c>
      <c r="G77" s="175">
        <v>0</v>
      </c>
      <c r="H77" s="175">
        <v>0</v>
      </c>
      <c r="I77" s="175">
        <v>0</v>
      </c>
      <c r="J77" s="175">
        <v>0</v>
      </c>
      <c r="K77" s="270">
        <v>0</v>
      </c>
      <c r="L77" s="177">
        <v>0</v>
      </c>
      <c r="M77" s="177">
        <v>0</v>
      </c>
      <c r="N77" s="177">
        <v>0</v>
      </c>
      <c r="O77" s="177">
        <v>0</v>
      </c>
      <c r="P77" s="272">
        <f t="shared" si="1"/>
        <v>0</v>
      </c>
      <c r="Q77" s="176">
        <v>0</v>
      </c>
      <c r="R77" s="176">
        <v>0</v>
      </c>
      <c r="S77" s="176">
        <v>0</v>
      </c>
      <c r="T77" s="176">
        <v>0</v>
      </c>
      <c r="U77" s="176">
        <v>0</v>
      </c>
      <c r="V77" s="176">
        <v>0</v>
      </c>
      <c r="W77" s="176">
        <v>0</v>
      </c>
      <c r="X77" s="176">
        <v>0</v>
      </c>
      <c r="Y77" s="116" t="s">
        <v>337</v>
      </c>
      <c r="Z77" s="116"/>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row>
    <row r="78" spans="1:142" s="170" customFormat="1" x14ac:dyDescent="0.45">
      <c r="B78" s="171"/>
      <c r="C78" s="171"/>
      <c r="D78" s="173" t="s">
        <v>465</v>
      </c>
      <c r="E78" s="172" t="s">
        <v>466</v>
      </c>
      <c r="F78" s="174" t="s">
        <v>273</v>
      </c>
      <c r="G78" s="175">
        <v>2</v>
      </c>
      <c r="H78" s="175">
        <v>6</v>
      </c>
      <c r="I78" s="175">
        <v>6</v>
      </c>
      <c r="J78" s="175">
        <v>2</v>
      </c>
      <c r="K78" s="270">
        <v>0</v>
      </c>
      <c r="L78" s="177">
        <v>4</v>
      </c>
      <c r="M78" s="177">
        <v>0</v>
      </c>
      <c r="N78" s="177">
        <v>2</v>
      </c>
      <c r="O78" s="177">
        <v>0</v>
      </c>
      <c r="P78" s="272">
        <f t="shared" si="1"/>
        <v>6</v>
      </c>
      <c r="Q78" s="176">
        <v>0.76575000000000004</v>
      </c>
      <c r="R78" s="176">
        <v>0.76575000000000004</v>
      </c>
      <c r="S78" s="176">
        <v>0.76575000000000004</v>
      </c>
      <c r="T78" s="176">
        <v>0.76575000000000004</v>
      </c>
      <c r="U78" s="176">
        <v>0.76125000000000009</v>
      </c>
      <c r="V78" s="176">
        <v>0.76125000000000009</v>
      </c>
      <c r="W78" s="176">
        <v>0.76125000000000009</v>
      </c>
      <c r="X78" s="176">
        <v>0.76125000000000009</v>
      </c>
      <c r="Y78" s="116" t="s">
        <v>337</v>
      </c>
      <c r="Z78" s="116"/>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row>
    <row r="79" spans="1:142" s="170" customFormat="1" x14ac:dyDescent="0.45">
      <c r="B79" s="171"/>
      <c r="C79" s="171"/>
      <c r="D79" s="173" t="s">
        <v>467</v>
      </c>
      <c r="E79" s="172" t="s">
        <v>468</v>
      </c>
      <c r="F79" s="174" t="s">
        <v>184</v>
      </c>
      <c r="G79" s="175">
        <v>0</v>
      </c>
      <c r="H79" s="175">
        <v>0</v>
      </c>
      <c r="I79" s="175">
        <v>0</v>
      </c>
      <c r="J79" s="175">
        <v>0</v>
      </c>
      <c r="K79" s="270">
        <v>0</v>
      </c>
      <c r="L79" s="177">
        <v>0</v>
      </c>
      <c r="M79" s="177">
        <v>0</v>
      </c>
      <c r="N79" s="177">
        <v>0</v>
      </c>
      <c r="O79" s="177">
        <v>0</v>
      </c>
      <c r="P79" s="272">
        <f t="shared" si="1"/>
        <v>0</v>
      </c>
      <c r="Q79" s="176">
        <v>0</v>
      </c>
      <c r="R79" s="176">
        <v>0</v>
      </c>
      <c r="S79" s="176">
        <v>0</v>
      </c>
      <c r="T79" s="176">
        <v>0</v>
      </c>
      <c r="U79" s="176">
        <v>0</v>
      </c>
      <c r="V79" s="176">
        <v>0</v>
      </c>
      <c r="W79" s="176">
        <v>0</v>
      </c>
      <c r="X79" s="176">
        <v>0</v>
      </c>
      <c r="Y79" s="116" t="s">
        <v>337</v>
      </c>
      <c r="Z79" s="116"/>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row>
    <row r="80" spans="1:142" s="170" customFormat="1" x14ac:dyDescent="0.45">
      <c r="B80" s="171"/>
      <c r="C80" s="171"/>
      <c r="D80" s="173" t="s">
        <v>469</v>
      </c>
      <c r="E80" s="172" t="s">
        <v>384</v>
      </c>
      <c r="F80" s="174" t="s">
        <v>184</v>
      </c>
      <c r="G80" s="175">
        <v>0</v>
      </c>
      <c r="H80" s="175">
        <v>0</v>
      </c>
      <c r="I80" s="175">
        <v>0</v>
      </c>
      <c r="J80" s="175">
        <v>0</v>
      </c>
      <c r="K80" s="270">
        <v>0</v>
      </c>
      <c r="L80" s="177">
        <v>0</v>
      </c>
      <c r="M80" s="177">
        <v>0</v>
      </c>
      <c r="N80" s="177">
        <v>0</v>
      </c>
      <c r="O80" s="177">
        <v>0</v>
      </c>
      <c r="P80" s="272">
        <f t="shared" si="1"/>
        <v>0</v>
      </c>
      <c r="Q80" s="176">
        <v>0</v>
      </c>
      <c r="R80" s="176">
        <v>0</v>
      </c>
      <c r="S80" s="176">
        <v>0</v>
      </c>
      <c r="T80" s="176">
        <v>0</v>
      </c>
      <c r="U80" s="176">
        <v>0</v>
      </c>
      <c r="V80" s="176">
        <v>0</v>
      </c>
      <c r="W80" s="176">
        <v>0</v>
      </c>
      <c r="X80" s="176">
        <v>0</v>
      </c>
      <c r="Y80" s="116" t="s">
        <v>337</v>
      </c>
      <c r="Z80" s="116"/>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row>
    <row r="81" spans="2:142" s="170" customFormat="1" x14ac:dyDescent="0.45">
      <c r="B81" s="171"/>
      <c r="C81" s="171"/>
      <c r="D81" s="173" t="s">
        <v>470</v>
      </c>
      <c r="E81" s="172" t="s">
        <v>471</v>
      </c>
      <c r="F81" s="174" t="s">
        <v>273</v>
      </c>
      <c r="G81" s="175">
        <v>3</v>
      </c>
      <c r="H81" s="175">
        <v>0</v>
      </c>
      <c r="I81" s="175">
        <v>1</v>
      </c>
      <c r="J81" s="175">
        <v>0</v>
      </c>
      <c r="K81" s="270">
        <v>0</v>
      </c>
      <c r="L81" s="177">
        <v>0</v>
      </c>
      <c r="M81" s="177">
        <v>1</v>
      </c>
      <c r="N81" s="177">
        <v>1</v>
      </c>
      <c r="O81" s="177">
        <v>0</v>
      </c>
      <c r="P81" s="272">
        <f t="shared" si="1"/>
        <v>2</v>
      </c>
      <c r="Q81" s="176">
        <v>0.1915</v>
      </c>
      <c r="R81" s="176">
        <v>0.1915</v>
      </c>
      <c r="S81" s="176">
        <v>0.1915</v>
      </c>
      <c r="T81" s="176">
        <v>0.1915</v>
      </c>
      <c r="U81" s="176">
        <v>0.19025</v>
      </c>
      <c r="V81" s="176">
        <v>0.19025</v>
      </c>
      <c r="W81" s="176">
        <v>0.19025</v>
      </c>
      <c r="X81" s="176">
        <v>0.19025</v>
      </c>
      <c r="Y81" s="116" t="s">
        <v>337</v>
      </c>
      <c r="Z81" s="116"/>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row>
    <row r="82" spans="2:142" s="170" customFormat="1" x14ac:dyDescent="0.45">
      <c r="B82" s="171"/>
      <c r="C82" s="171"/>
      <c r="D82" s="173" t="s">
        <v>472</v>
      </c>
      <c r="E82" s="172" t="s">
        <v>473</v>
      </c>
      <c r="F82" s="174" t="s">
        <v>273</v>
      </c>
      <c r="G82" s="175">
        <v>1</v>
      </c>
      <c r="H82" s="175">
        <v>0</v>
      </c>
      <c r="I82" s="175">
        <v>0</v>
      </c>
      <c r="J82" s="175">
        <v>4</v>
      </c>
      <c r="K82" s="270">
        <v>3</v>
      </c>
      <c r="L82" s="177">
        <v>0</v>
      </c>
      <c r="M82" s="177">
        <v>0</v>
      </c>
      <c r="N82" s="177">
        <v>0</v>
      </c>
      <c r="O82" s="177">
        <v>0</v>
      </c>
      <c r="P82" s="272">
        <f t="shared" si="1"/>
        <v>0</v>
      </c>
      <c r="Q82" s="176">
        <v>0.38275000000000003</v>
      </c>
      <c r="R82" s="176">
        <v>0.38275000000000003</v>
      </c>
      <c r="S82" s="176">
        <v>0.38275000000000003</v>
      </c>
      <c r="T82" s="176">
        <v>0.38275000000000003</v>
      </c>
      <c r="U82" s="176">
        <v>0.38050000000000006</v>
      </c>
      <c r="V82" s="176">
        <v>0.38050000000000006</v>
      </c>
      <c r="W82" s="176">
        <v>0.38050000000000006</v>
      </c>
      <c r="X82" s="176">
        <v>0.38050000000000006</v>
      </c>
      <c r="Y82" s="116" t="s">
        <v>337</v>
      </c>
      <c r="Z82" s="116"/>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row>
    <row r="83" spans="2:142" s="170" customFormat="1" x14ac:dyDescent="0.45">
      <c r="B83" s="171"/>
      <c r="C83" s="171"/>
      <c r="D83" s="173" t="s">
        <v>474</v>
      </c>
      <c r="E83" s="172" t="s">
        <v>475</v>
      </c>
      <c r="F83" s="174" t="s">
        <v>273</v>
      </c>
      <c r="G83" s="175">
        <v>29</v>
      </c>
      <c r="H83" s="175">
        <v>13</v>
      </c>
      <c r="I83" s="175">
        <v>6</v>
      </c>
      <c r="J83" s="175">
        <v>3</v>
      </c>
      <c r="K83" s="270">
        <v>8</v>
      </c>
      <c r="L83" s="177">
        <v>0</v>
      </c>
      <c r="M83" s="177">
        <v>0</v>
      </c>
      <c r="N83" s="177">
        <v>0</v>
      </c>
      <c r="O83" s="177">
        <v>0</v>
      </c>
      <c r="P83" s="272">
        <f t="shared" si="1"/>
        <v>0</v>
      </c>
      <c r="Q83" s="176">
        <v>2.95</v>
      </c>
      <c r="R83" s="176">
        <v>2.95</v>
      </c>
      <c r="S83" s="176">
        <v>2.95</v>
      </c>
      <c r="T83" s="176">
        <v>2.95</v>
      </c>
      <c r="U83" s="176">
        <v>2.95</v>
      </c>
      <c r="V83" s="176">
        <v>2.95</v>
      </c>
      <c r="W83" s="176">
        <v>2.95</v>
      </c>
      <c r="X83" s="176">
        <v>2.95</v>
      </c>
      <c r="Y83" s="116" t="s">
        <v>337</v>
      </c>
      <c r="Z83" s="116"/>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row>
    <row r="84" spans="2:142" s="170" customFormat="1" x14ac:dyDescent="0.45">
      <c r="B84" s="171"/>
      <c r="C84" s="171"/>
      <c r="D84" s="173" t="s">
        <v>476</v>
      </c>
      <c r="E84" s="172" t="s">
        <v>380</v>
      </c>
      <c r="F84" s="174" t="s">
        <v>273</v>
      </c>
      <c r="G84" s="175">
        <v>0</v>
      </c>
      <c r="H84" s="175">
        <v>0</v>
      </c>
      <c r="I84" s="175">
        <v>0</v>
      </c>
      <c r="J84" s="175">
        <v>0</v>
      </c>
      <c r="K84" s="270">
        <v>0</v>
      </c>
      <c r="L84" s="177">
        <v>0</v>
      </c>
      <c r="M84" s="177">
        <v>0</v>
      </c>
      <c r="N84" s="177">
        <v>0</v>
      </c>
      <c r="O84" s="177">
        <v>0</v>
      </c>
      <c r="P84" s="272">
        <f t="shared" si="1"/>
        <v>0</v>
      </c>
      <c r="Q84" s="176">
        <v>0</v>
      </c>
      <c r="R84" s="176">
        <v>0</v>
      </c>
      <c r="S84" s="176">
        <v>0</v>
      </c>
      <c r="T84" s="176">
        <v>0</v>
      </c>
      <c r="U84" s="176">
        <v>0</v>
      </c>
      <c r="V84" s="176">
        <v>0</v>
      </c>
      <c r="W84" s="176">
        <v>0</v>
      </c>
      <c r="X84" s="176">
        <v>0</v>
      </c>
      <c r="Y84" s="116" t="s">
        <v>337</v>
      </c>
      <c r="Z84" s="116"/>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row>
    <row r="85" spans="2:142" s="170" customFormat="1" x14ac:dyDescent="0.45">
      <c r="B85" s="171"/>
      <c r="C85" s="171"/>
      <c r="D85" s="173" t="s">
        <v>477</v>
      </c>
      <c r="E85" s="172" t="s">
        <v>478</v>
      </c>
      <c r="F85" s="174" t="s">
        <v>184</v>
      </c>
      <c r="G85" s="175">
        <v>0</v>
      </c>
      <c r="H85" s="175">
        <v>0</v>
      </c>
      <c r="I85" s="175">
        <v>0</v>
      </c>
      <c r="J85" s="175">
        <v>0</v>
      </c>
      <c r="K85" s="270">
        <v>0</v>
      </c>
      <c r="L85" s="177">
        <v>0</v>
      </c>
      <c r="M85" s="177">
        <v>0</v>
      </c>
      <c r="N85" s="177">
        <v>0</v>
      </c>
      <c r="O85" s="177">
        <v>0</v>
      </c>
      <c r="P85" s="272">
        <f t="shared" si="1"/>
        <v>0</v>
      </c>
      <c r="Q85" s="176">
        <v>0</v>
      </c>
      <c r="R85" s="176">
        <v>0</v>
      </c>
      <c r="S85" s="176">
        <v>0</v>
      </c>
      <c r="T85" s="176">
        <v>0</v>
      </c>
      <c r="U85" s="176">
        <v>0</v>
      </c>
      <c r="V85" s="176">
        <v>0</v>
      </c>
      <c r="W85" s="176">
        <v>0</v>
      </c>
      <c r="X85" s="176">
        <v>0</v>
      </c>
      <c r="Y85" s="116" t="s">
        <v>337</v>
      </c>
      <c r="Z85" s="116"/>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row>
    <row r="86" spans="2:142" s="170" customFormat="1" x14ac:dyDescent="0.45">
      <c r="B86" s="171"/>
      <c r="C86" s="171"/>
      <c r="D86" s="173" t="s">
        <v>479</v>
      </c>
      <c r="E86" s="172" t="s">
        <v>480</v>
      </c>
      <c r="F86" s="174" t="s">
        <v>184</v>
      </c>
      <c r="G86" s="175">
        <v>0</v>
      </c>
      <c r="H86" s="175">
        <v>0</v>
      </c>
      <c r="I86" s="175">
        <v>0</v>
      </c>
      <c r="J86" s="175">
        <v>0</v>
      </c>
      <c r="K86" s="270">
        <v>0</v>
      </c>
      <c r="L86" s="177">
        <v>0</v>
      </c>
      <c r="M86" s="177">
        <v>0</v>
      </c>
      <c r="N86" s="177">
        <v>0</v>
      </c>
      <c r="O86" s="177">
        <v>0</v>
      </c>
      <c r="P86" s="272">
        <f t="shared" si="1"/>
        <v>0</v>
      </c>
      <c r="Q86" s="176">
        <v>0</v>
      </c>
      <c r="R86" s="176">
        <v>0</v>
      </c>
      <c r="S86" s="176">
        <v>0</v>
      </c>
      <c r="T86" s="176">
        <v>0</v>
      </c>
      <c r="U86" s="176">
        <v>0</v>
      </c>
      <c r="V86" s="176">
        <v>0</v>
      </c>
      <c r="W86" s="176">
        <v>0</v>
      </c>
      <c r="X86" s="176">
        <v>0</v>
      </c>
      <c r="Y86" s="116" t="s">
        <v>337</v>
      </c>
      <c r="Z86" s="116"/>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row>
    <row r="87" spans="2:142" s="170" customFormat="1" x14ac:dyDescent="0.45">
      <c r="B87" s="171"/>
      <c r="C87" s="171"/>
      <c r="D87" s="173" t="s">
        <v>481</v>
      </c>
      <c r="E87" s="172" t="s">
        <v>482</v>
      </c>
      <c r="F87" s="174" t="s">
        <v>273</v>
      </c>
      <c r="G87" s="175">
        <v>0</v>
      </c>
      <c r="H87" s="175">
        <v>0</v>
      </c>
      <c r="I87" s="175">
        <v>1</v>
      </c>
      <c r="J87" s="175">
        <v>0</v>
      </c>
      <c r="K87" s="270">
        <v>0</v>
      </c>
      <c r="L87" s="177">
        <v>0</v>
      </c>
      <c r="M87" s="177">
        <v>0</v>
      </c>
      <c r="N87" s="177">
        <v>0</v>
      </c>
      <c r="O87" s="177">
        <v>0</v>
      </c>
      <c r="P87" s="272">
        <f t="shared" si="1"/>
        <v>0</v>
      </c>
      <c r="Q87" s="176">
        <v>4.7750000000000001E-2</v>
      </c>
      <c r="R87" s="176">
        <v>4.7750000000000001E-2</v>
      </c>
      <c r="S87" s="176">
        <v>4.7750000000000001E-2</v>
      </c>
      <c r="T87" s="176">
        <v>4.7750000000000001E-2</v>
      </c>
      <c r="U87" s="176">
        <v>4.7500000000000001E-2</v>
      </c>
      <c r="V87" s="176">
        <v>4.7500000000000001E-2</v>
      </c>
      <c r="W87" s="176">
        <v>4.7500000000000001E-2</v>
      </c>
      <c r="X87" s="176">
        <v>4.7500000000000001E-2</v>
      </c>
      <c r="Y87" s="116" t="s">
        <v>337</v>
      </c>
      <c r="Z87" s="116"/>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row>
    <row r="88" spans="2:142" s="170" customFormat="1" x14ac:dyDescent="0.45">
      <c r="B88" s="171"/>
      <c r="C88" s="171"/>
      <c r="D88" s="173" t="s">
        <v>483</v>
      </c>
      <c r="E88" s="172" t="s">
        <v>484</v>
      </c>
      <c r="F88" s="174" t="s">
        <v>184</v>
      </c>
      <c r="G88" s="175">
        <v>0</v>
      </c>
      <c r="H88" s="175">
        <v>0</v>
      </c>
      <c r="I88" s="175">
        <v>0</v>
      </c>
      <c r="J88" s="175">
        <v>0</v>
      </c>
      <c r="K88" s="270">
        <v>0</v>
      </c>
      <c r="L88" s="177">
        <v>0</v>
      </c>
      <c r="M88" s="177">
        <v>0</v>
      </c>
      <c r="N88" s="177">
        <v>0</v>
      </c>
      <c r="O88" s="177">
        <v>0</v>
      </c>
      <c r="P88" s="272">
        <f t="shared" si="1"/>
        <v>0</v>
      </c>
      <c r="Q88" s="176">
        <v>0</v>
      </c>
      <c r="R88" s="176">
        <v>0</v>
      </c>
      <c r="S88" s="176">
        <v>0</v>
      </c>
      <c r="T88" s="176">
        <v>0</v>
      </c>
      <c r="U88" s="176">
        <v>0</v>
      </c>
      <c r="V88" s="176">
        <v>0</v>
      </c>
      <c r="W88" s="176">
        <v>0</v>
      </c>
      <c r="X88" s="176">
        <v>0</v>
      </c>
      <c r="Y88" s="116" t="s">
        <v>337</v>
      </c>
      <c r="Z88" s="116"/>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row>
    <row r="89" spans="2:142" s="170" customFormat="1" x14ac:dyDescent="0.45">
      <c r="B89" s="171"/>
      <c r="C89" s="171"/>
      <c r="D89" s="173" t="s">
        <v>485</v>
      </c>
      <c r="E89" s="172" t="s">
        <v>486</v>
      </c>
      <c r="F89" s="174" t="s">
        <v>273</v>
      </c>
      <c r="G89" s="175">
        <v>0</v>
      </c>
      <c r="H89" s="175">
        <v>0</v>
      </c>
      <c r="I89" s="175">
        <v>0</v>
      </c>
      <c r="J89" s="175">
        <v>1</v>
      </c>
      <c r="K89" s="270">
        <v>1</v>
      </c>
      <c r="L89" s="177">
        <v>0</v>
      </c>
      <c r="M89" s="177">
        <v>0</v>
      </c>
      <c r="N89" s="177">
        <v>0</v>
      </c>
      <c r="O89" s="177">
        <v>0</v>
      </c>
      <c r="P89" s="272">
        <f t="shared" si="1"/>
        <v>0</v>
      </c>
      <c r="Q89" s="176">
        <v>9.5750000000000002E-2</v>
      </c>
      <c r="R89" s="176">
        <v>9.5750000000000002E-2</v>
      </c>
      <c r="S89" s="176">
        <v>9.5750000000000002E-2</v>
      </c>
      <c r="T89" s="176">
        <v>9.5750000000000002E-2</v>
      </c>
      <c r="U89" s="176">
        <v>9.5250000000000001E-2</v>
      </c>
      <c r="V89" s="176">
        <v>9.5250000000000001E-2</v>
      </c>
      <c r="W89" s="176">
        <v>9.5250000000000001E-2</v>
      </c>
      <c r="X89" s="176">
        <v>9.5250000000000001E-2</v>
      </c>
      <c r="Y89" s="116" t="s">
        <v>337</v>
      </c>
      <c r="Z89" s="116"/>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row>
    <row r="90" spans="2:142" s="170" customFormat="1" x14ac:dyDescent="0.45">
      <c r="B90" s="171"/>
      <c r="C90" s="171"/>
      <c r="D90" s="173" t="s">
        <v>487</v>
      </c>
      <c r="E90" s="172" t="s">
        <v>488</v>
      </c>
      <c r="F90" s="174" t="s">
        <v>184</v>
      </c>
      <c r="G90" s="175">
        <v>0</v>
      </c>
      <c r="H90" s="175">
        <v>0</v>
      </c>
      <c r="I90" s="175">
        <v>0</v>
      </c>
      <c r="J90" s="175">
        <v>0</v>
      </c>
      <c r="K90" s="270">
        <v>0</v>
      </c>
      <c r="L90" s="177">
        <v>0</v>
      </c>
      <c r="M90" s="177">
        <v>0</v>
      </c>
      <c r="N90" s="177">
        <v>0</v>
      </c>
      <c r="O90" s="177">
        <v>0</v>
      </c>
      <c r="P90" s="272">
        <f t="shared" si="1"/>
        <v>0</v>
      </c>
      <c r="Q90" s="176">
        <v>0</v>
      </c>
      <c r="R90" s="176">
        <v>0</v>
      </c>
      <c r="S90" s="176">
        <v>0</v>
      </c>
      <c r="T90" s="176">
        <v>0</v>
      </c>
      <c r="U90" s="176">
        <v>0</v>
      </c>
      <c r="V90" s="176">
        <v>0</v>
      </c>
      <c r="W90" s="176">
        <v>0</v>
      </c>
      <c r="X90" s="176">
        <v>0</v>
      </c>
      <c r="Y90" s="116" t="s">
        <v>337</v>
      </c>
      <c r="Z90" s="116"/>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row>
    <row r="91" spans="2:142" s="170" customFormat="1" x14ac:dyDescent="0.45">
      <c r="B91" s="171"/>
      <c r="C91" s="171"/>
      <c r="D91" s="173" t="s">
        <v>489</v>
      </c>
      <c r="E91" s="172" t="s">
        <v>390</v>
      </c>
      <c r="F91" s="174" t="s">
        <v>273</v>
      </c>
      <c r="G91" s="175">
        <v>1</v>
      </c>
      <c r="H91" s="175">
        <v>0</v>
      </c>
      <c r="I91" s="175">
        <v>0</v>
      </c>
      <c r="J91" s="175">
        <v>0</v>
      </c>
      <c r="K91" s="270">
        <v>0</v>
      </c>
      <c r="L91" s="177">
        <v>0</v>
      </c>
      <c r="M91" s="177">
        <v>0</v>
      </c>
      <c r="N91" s="177">
        <v>0</v>
      </c>
      <c r="O91" s="177">
        <v>0</v>
      </c>
      <c r="P91" s="272">
        <f t="shared" si="1"/>
        <v>0</v>
      </c>
      <c r="Q91" s="176">
        <v>0.05</v>
      </c>
      <c r="R91" s="176">
        <v>0.05</v>
      </c>
      <c r="S91" s="176">
        <v>0.05</v>
      </c>
      <c r="T91" s="176">
        <v>0.05</v>
      </c>
      <c r="U91" s="176">
        <v>0.05</v>
      </c>
      <c r="V91" s="176">
        <v>0.05</v>
      </c>
      <c r="W91" s="176">
        <v>0.05</v>
      </c>
      <c r="X91" s="176">
        <v>0.05</v>
      </c>
      <c r="Y91" s="116" t="s">
        <v>337</v>
      </c>
      <c r="Z91" s="116"/>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row>
    <row r="92" spans="2:142" s="170" customFormat="1" x14ac:dyDescent="0.45">
      <c r="B92" s="171"/>
      <c r="C92" s="171" t="s">
        <v>490</v>
      </c>
      <c r="D92" s="173" t="s">
        <v>491</v>
      </c>
      <c r="E92" s="172" t="s">
        <v>393</v>
      </c>
      <c r="F92" s="174" t="s">
        <v>273</v>
      </c>
      <c r="G92" s="175">
        <v>1</v>
      </c>
      <c r="H92" s="175">
        <v>0</v>
      </c>
      <c r="I92" s="175">
        <v>0</v>
      </c>
      <c r="J92" s="175">
        <v>0</v>
      </c>
      <c r="K92" s="270">
        <v>0</v>
      </c>
      <c r="L92" s="177">
        <v>0</v>
      </c>
      <c r="M92" s="177">
        <v>0</v>
      </c>
      <c r="N92" s="177">
        <v>0</v>
      </c>
      <c r="O92" s="177">
        <v>0</v>
      </c>
      <c r="P92" s="272">
        <f t="shared" si="1"/>
        <v>0</v>
      </c>
      <c r="Q92" s="176">
        <v>4.7750000000000001E-2</v>
      </c>
      <c r="R92" s="176">
        <v>4.7750000000000001E-2</v>
      </c>
      <c r="S92" s="176">
        <v>4.7750000000000001E-2</v>
      </c>
      <c r="T92" s="176">
        <v>4.7750000000000001E-2</v>
      </c>
      <c r="U92" s="176">
        <v>4.7500000000000001E-2</v>
      </c>
      <c r="V92" s="176">
        <v>4.7500000000000001E-2</v>
      </c>
      <c r="W92" s="176">
        <v>4.7500000000000001E-2</v>
      </c>
      <c r="X92" s="176">
        <v>4.7500000000000001E-2</v>
      </c>
      <c r="Y92" s="116" t="s">
        <v>337</v>
      </c>
      <c r="Z92" s="116"/>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row>
    <row r="93" spans="2:142" s="170" customFormat="1" x14ac:dyDescent="0.45">
      <c r="B93" s="171"/>
      <c r="C93" s="171" t="s">
        <v>492</v>
      </c>
      <c r="D93" s="173" t="s">
        <v>493</v>
      </c>
      <c r="E93" s="172" t="s">
        <v>396</v>
      </c>
      <c r="F93" s="174" t="s">
        <v>273</v>
      </c>
      <c r="G93" s="175">
        <v>3</v>
      </c>
      <c r="H93" s="175">
        <v>8</v>
      </c>
      <c r="I93" s="175">
        <v>0</v>
      </c>
      <c r="J93" s="175">
        <v>3</v>
      </c>
      <c r="K93" s="270">
        <v>1</v>
      </c>
      <c r="L93" s="177">
        <v>0</v>
      </c>
      <c r="M93" s="177">
        <v>1</v>
      </c>
      <c r="N93" s="177">
        <v>0</v>
      </c>
      <c r="O93" s="177">
        <v>0</v>
      </c>
      <c r="P93" s="272">
        <f t="shared" si="1"/>
        <v>1</v>
      </c>
      <c r="Q93" s="176">
        <v>0.71799999999999997</v>
      </c>
      <c r="R93" s="176">
        <v>0.71799999999999997</v>
      </c>
      <c r="S93" s="176">
        <v>0.71799999999999997</v>
      </c>
      <c r="T93" s="176">
        <v>0.71799999999999997</v>
      </c>
      <c r="U93" s="176">
        <v>0.71375</v>
      </c>
      <c r="V93" s="176">
        <v>0.71375</v>
      </c>
      <c r="W93" s="176">
        <v>0.71375</v>
      </c>
      <c r="X93" s="176">
        <v>0.71375</v>
      </c>
      <c r="Y93" s="116" t="s">
        <v>337</v>
      </c>
      <c r="Z93" s="116"/>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row>
    <row r="94" spans="2:142" s="170" customFormat="1" x14ac:dyDescent="0.45">
      <c r="B94" s="171"/>
      <c r="C94" s="171" t="s">
        <v>494</v>
      </c>
      <c r="D94" s="173" t="s">
        <v>495</v>
      </c>
      <c r="E94" s="172" t="s">
        <v>356</v>
      </c>
      <c r="F94" s="174" t="s">
        <v>273</v>
      </c>
      <c r="G94" s="175">
        <v>0</v>
      </c>
      <c r="H94" s="175">
        <v>0</v>
      </c>
      <c r="I94" s="175">
        <v>2</v>
      </c>
      <c r="J94" s="175">
        <v>0</v>
      </c>
      <c r="K94" s="270">
        <v>0</v>
      </c>
      <c r="L94" s="177">
        <v>1</v>
      </c>
      <c r="M94" s="177">
        <v>0</v>
      </c>
      <c r="N94" s="177">
        <v>0</v>
      </c>
      <c r="O94" s="177">
        <v>0</v>
      </c>
      <c r="P94" s="272">
        <f t="shared" si="1"/>
        <v>1</v>
      </c>
      <c r="Q94" s="176">
        <v>0.1</v>
      </c>
      <c r="R94" s="176">
        <v>0.1</v>
      </c>
      <c r="S94" s="176">
        <v>0.1</v>
      </c>
      <c r="T94" s="176">
        <v>0.1</v>
      </c>
      <c r="U94" s="176">
        <v>0.1</v>
      </c>
      <c r="V94" s="176">
        <v>0.1</v>
      </c>
      <c r="W94" s="176">
        <v>0.1</v>
      </c>
      <c r="X94" s="176">
        <v>0.1</v>
      </c>
      <c r="Y94" s="116" t="s">
        <v>337</v>
      </c>
      <c r="Z94" s="116"/>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row>
    <row r="95" spans="2:142" s="170" customFormat="1" x14ac:dyDescent="0.45">
      <c r="B95" s="171"/>
      <c r="C95" s="171" t="s">
        <v>496</v>
      </c>
      <c r="D95" s="173" t="s">
        <v>497</v>
      </c>
      <c r="E95" s="172" t="s">
        <v>401</v>
      </c>
      <c r="F95" s="174" t="s">
        <v>273</v>
      </c>
      <c r="G95" s="175">
        <v>0</v>
      </c>
      <c r="H95" s="175">
        <v>0</v>
      </c>
      <c r="I95" s="175">
        <v>0</v>
      </c>
      <c r="J95" s="175">
        <v>0</v>
      </c>
      <c r="K95" s="270">
        <v>0</v>
      </c>
      <c r="L95" s="177">
        <v>0</v>
      </c>
      <c r="M95" s="177">
        <v>0</v>
      </c>
      <c r="N95" s="177">
        <v>0</v>
      </c>
      <c r="O95" s="177">
        <v>0</v>
      </c>
      <c r="P95" s="272">
        <f t="shared" si="1"/>
        <v>0</v>
      </c>
      <c r="Q95" s="176">
        <v>0</v>
      </c>
      <c r="R95" s="176">
        <v>0</v>
      </c>
      <c r="S95" s="176">
        <v>0</v>
      </c>
      <c r="T95" s="176">
        <v>0</v>
      </c>
      <c r="U95" s="176">
        <v>0</v>
      </c>
      <c r="V95" s="176">
        <v>0</v>
      </c>
      <c r="W95" s="176">
        <v>0</v>
      </c>
      <c r="X95" s="176">
        <v>0</v>
      </c>
      <c r="Y95" s="116" t="s">
        <v>337</v>
      </c>
      <c r="Z95" s="116"/>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row>
    <row r="96" spans="2:142" s="170" customFormat="1" x14ac:dyDescent="0.45">
      <c r="B96" s="171"/>
      <c r="C96" s="171" t="s">
        <v>498</v>
      </c>
      <c r="D96" s="173" t="s">
        <v>499</v>
      </c>
      <c r="E96" s="172" t="s">
        <v>404</v>
      </c>
      <c r="F96" s="174" t="s">
        <v>273</v>
      </c>
      <c r="G96" s="175">
        <v>1</v>
      </c>
      <c r="H96" s="175">
        <v>0</v>
      </c>
      <c r="I96" s="175">
        <v>0</v>
      </c>
      <c r="J96" s="175">
        <v>0</v>
      </c>
      <c r="K96" s="270">
        <v>0</v>
      </c>
      <c r="L96" s="177">
        <v>0</v>
      </c>
      <c r="M96" s="177">
        <v>0</v>
      </c>
      <c r="N96" s="177">
        <v>0</v>
      </c>
      <c r="O96" s="177">
        <v>0</v>
      </c>
      <c r="P96" s="272">
        <f t="shared" si="1"/>
        <v>0</v>
      </c>
      <c r="Q96" s="176">
        <v>4.7750000000000001E-2</v>
      </c>
      <c r="R96" s="176">
        <v>4.7750000000000001E-2</v>
      </c>
      <c r="S96" s="176">
        <v>4.7750000000000001E-2</v>
      </c>
      <c r="T96" s="176">
        <v>4.7750000000000001E-2</v>
      </c>
      <c r="U96" s="176">
        <v>4.7500000000000001E-2</v>
      </c>
      <c r="V96" s="176">
        <v>4.7500000000000001E-2</v>
      </c>
      <c r="W96" s="176">
        <v>4.7500000000000001E-2</v>
      </c>
      <c r="X96" s="176">
        <v>4.7500000000000001E-2</v>
      </c>
      <c r="Y96" s="116" t="s">
        <v>337</v>
      </c>
      <c r="Z96" s="116"/>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row>
    <row r="97" spans="1:142" s="170" customFormat="1" x14ac:dyDescent="0.45">
      <c r="B97" s="171"/>
      <c r="C97" s="171" t="s">
        <v>500</v>
      </c>
      <c r="D97" s="173" t="s">
        <v>501</v>
      </c>
      <c r="E97" s="172" t="s">
        <v>407</v>
      </c>
      <c r="F97" s="174" t="s">
        <v>273</v>
      </c>
      <c r="G97" s="175">
        <v>13</v>
      </c>
      <c r="H97" s="175">
        <v>10</v>
      </c>
      <c r="I97" s="175">
        <v>10</v>
      </c>
      <c r="J97" s="175">
        <v>12</v>
      </c>
      <c r="K97" s="270">
        <v>4</v>
      </c>
      <c r="L97" s="177">
        <v>3</v>
      </c>
      <c r="M97" s="177">
        <v>3</v>
      </c>
      <c r="N97" s="177">
        <v>3</v>
      </c>
      <c r="O97" s="177">
        <v>4</v>
      </c>
      <c r="P97" s="272">
        <f t="shared" si="1"/>
        <v>13</v>
      </c>
      <c r="Q97" s="176">
        <v>2.3450000000000002</v>
      </c>
      <c r="R97" s="176">
        <v>2.3450000000000002</v>
      </c>
      <c r="S97" s="176">
        <v>2.3450000000000002</v>
      </c>
      <c r="T97" s="176">
        <v>2.3450000000000002</v>
      </c>
      <c r="U97" s="176">
        <v>2.3310000000000004</v>
      </c>
      <c r="V97" s="176">
        <v>2.3310000000000004</v>
      </c>
      <c r="W97" s="176">
        <v>2.3310000000000004</v>
      </c>
      <c r="X97" s="176">
        <v>2.3310000000000004</v>
      </c>
      <c r="Y97" s="116" t="s">
        <v>337</v>
      </c>
      <c r="Z97" s="116"/>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row>
    <row r="98" spans="1:142" x14ac:dyDescent="0.45">
      <c r="A98" s="8" t="s">
        <v>333</v>
      </c>
      <c r="B98" s="171" t="s">
        <v>502</v>
      </c>
      <c r="C98" s="171" t="s">
        <v>503</v>
      </c>
      <c r="D98" s="173" t="s">
        <v>504</v>
      </c>
      <c r="E98" s="172" t="s">
        <v>336</v>
      </c>
      <c r="F98" s="111" t="s">
        <v>273</v>
      </c>
      <c r="G98" s="112">
        <v>5</v>
      </c>
      <c r="H98" s="112">
        <v>4</v>
      </c>
      <c r="I98" s="112">
        <v>3</v>
      </c>
      <c r="J98" s="112">
        <v>3</v>
      </c>
      <c r="K98" s="270">
        <v>0</v>
      </c>
      <c r="L98" s="114">
        <v>0</v>
      </c>
      <c r="M98" s="114">
        <v>0</v>
      </c>
      <c r="N98" s="114">
        <v>0</v>
      </c>
      <c r="O98" s="114">
        <v>0</v>
      </c>
      <c r="P98" s="272">
        <f t="shared" si="1"/>
        <v>0</v>
      </c>
      <c r="Q98" s="114">
        <v>0.73078749999999992</v>
      </c>
      <c r="R98" s="114">
        <v>0.73078749999999992</v>
      </c>
      <c r="S98" s="114">
        <v>0.73078749999999992</v>
      </c>
      <c r="T98" s="114">
        <v>0.73078749999999992</v>
      </c>
      <c r="U98" s="114">
        <v>0.7079375</v>
      </c>
      <c r="V98" s="114">
        <v>0.7079375</v>
      </c>
      <c r="W98" s="114">
        <v>0.7079375</v>
      </c>
      <c r="X98" s="114">
        <v>0.7079375</v>
      </c>
      <c r="Y98" s="116" t="s">
        <v>505</v>
      </c>
      <c r="Z98" s="116"/>
    </row>
    <row r="99" spans="1:142" x14ac:dyDescent="0.45">
      <c r="B99" s="171"/>
      <c r="C99" s="171"/>
      <c r="D99" s="173" t="s">
        <v>506</v>
      </c>
      <c r="E99" s="172" t="s">
        <v>338</v>
      </c>
      <c r="F99" s="111" t="s">
        <v>273</v>
      </c>
      <c r="G99" s="112">
        <v>0</v>
      </c>
      <c r="H99" s="112">
        <v>2</v>
      </c>
      <c r="I99" s="112">
        <v>1</v>
      </c>
      <c r="J99" s="112">
        <v>1</v>
      </c>
      <c r="K99" s="270">
        <v>1</v>
      </c>
      <c r="L99" s="114">
        <v>0</v>
      </c>
      <c r="M99" s="114">
        <v>1</v>
      </c>
      <c r="N99" s="114">
        <v>1</v>
      </c>
      <c r="O99" s="114">
        <v>0</v>
      </c>
      <c r="P99" s="272">
        <f t="shared" si="1"/>
        <v>2</v>
      </c>
      <c r="Q99" s="114">
        <v>0.24715000000000004</v>
      </c>
      <c r="R99" s="114">
        <v>0.24715000000000004</v>
      </c>
      <c r="S99" s="114">
        <v>0.24715000000000004</v>
      </c>
      <c r="T99" s="114">
        <v>0.24715000000000004</v>
      </c>
      <c r="U99" s="114">
        <v>0.24360000000000001</v>
      </c>
      <c r="V99" s="114">
        <v>0.24360000000000001</v>
      </c>
      <c r="W99" s="114">
        <v>0.24360000000000001</v>
      </c>
      <c r="X99" s="114">
        <v>0.24360000000000001</v>
      </c>
      <c r="Y99" s="116" t="s">
        <v>505</v>
      </c>
      <c r="Z99" s="116"/>
    </row>
    <row r="100" spans="1:142" x14ac:dyDescent="0.45">
      <c r="B100" s="171"/>
      <c r="C100" s="171"/>
      <c r="D100" s="173" t="s">
        <v>507</v>
      </c>
      <c r="E100" s="172" t="s">
        <v>339</v>
      </c>
      <c r="F100" s="111" t="s">
        <v>273</v>
      </c>
      <c r="G100" s="112">
        <v>2</v>
      </c>
      <c r="H100" s="112">
        <v>3</v>
      </c>
      <c r="I100" s="112">
        <v>5</v>
      </c>
      <c r="J100" s="112">
        <v>8</v>
      </c>
      <c r="K100" s="270">
        <v>0</v>
      </c>
      <c r="L100" s="114">
        <v>0</v>
      </c>
      <c r="M100" s="114">
        <v>2</v>
      </c>
      <c r="N100" s="114">
        <v>0</v>
      </c>
      <c r="O100" s="114">
        <v>0</v>
      </c>
      <c r="P100" s="272">
        <f t="shared" si="1"/>
        <v>2</v>
      </c>
      <c r="Q100" s="114">
        <v>0.89800000000000002</v>
      </c>
      <c r="R100" s="114">
        <v>0.89800000000000002</v>
      </c>
      <c r="S100" s="114">
        <v>0.89800000000000002</v>
      </c>
      <c r="T100" s="114">
        <v>0.89800000000000002</v>
      </c>
      <c r="U100" s="114">
        <v>0.89335000000000009</v>
      </c>
      <c r="V100" s="114">
        <v>0.89335000000000009</v>
      </c>
      <c r="W100" s="114">
        <v>0.89335000000000009</v>
      </c>
      <c r="X100" s="114">
        <v>0.89335000000000009</v>
      </c>
      <c r="Y100" s="116" t="s">
        <v>505</v>
      </c>
      <c r="Z100" s="116"/>
    </row>
    <row r="101" spans="1:142" x14ac:dyDescent="0.45">
      <c r="B101" s="171"/>
      <c r="C101" s="171"/>
      <c r="D101" s="173" t="s">
        <v>508</v>
      </c>
      <c r="E101" s="172" t="s">
        <v>340</v>
      </c>
      <c r="F101" s="111" t="s">
        <v>273</v>
      </c>
      <c r="G101" s="112">
        <v>6</v>
      </c>
      <c r="H101" s="112">
        <v>4</v>
      </c>
      <c r="I101" s="112">
        <v>4</v>
      </c>
      <c r="J101" s="112">
        <v>1</v>
      </c>
      <c r="K101" s="270">
        <v>3</v>
      </c>
      <c r="L101" s="114">
        <v>0</v>
      </c>
      <c r="M101" s="114">
        <v>1</v>
      </c>
      <c r="N101" s="114">
        <v>2</v>
      </c>
      <c r="O101" s="114">
        <v>0</v>
      </c>
      <c r="P101" s="272">
        <f t="shared" si="1"/>
        <v>3</v>
      </c>
      <c r="Q101" s="114">
        <v>0.897725</v>
      </c>
      <c r="R101" s="114">
        <v>0.897725</v>
      </c>
      <c r="S101" s="114">
        <v>0.897725</v>
      </c>
      <c r="T101" s="114">
        <v>0.897725</v>
      </c>
      <c r="U101" s="114">
        <v>0.89387499999999998</v>
      </c>
      <c r="V101" s="114">
        <v>0.89387499999999998</v>
      </c>
      <c r="W101" s="114">
        <v>0.89387499999999998</v>
      </c>
      <c r="X101" s="114">
        <v>0.89387499999999998</v>
      </c>
      <c r="Y101" s="116" t="s">
        <v>505</v>
      </c>
      <c r="Z101" s="116"/>
    </row>
    <row r="102" spans="1:142" x14ac:dyDescent="0.45">
      <c r="B102" s="171"/>
      <c r="C102" s="171"/>
      <c r="D102" s="173" t="s">
        <v>509</v>
      </c>
      <c r="E102" s="172" t="s">
        <v>341</v>
      </c>
      <c r="F102" s="111" t="s">
        <v>273</v>
      </c>
      <c r="G102" s="112">
        <v>3</v>
      </c>
      <c r="H102" s="112">
        <v>2</v>
      </c>
      <c r="I102" s="112">
        <v>2</v>
      </c>
      <c r="J102" s="112">
        <v>1</v>
      </c>
      <c r="K102" s="270">
        <v>1</v>
      </c>
      <c r="L102" s="114">
        <v>0</v>
      </c>
      <c r="M102" s="114">
        <v>0</v>
      </c>
      <c r="N102" s="114">
        <v>0</v>
      </c>
      <c r="O102" s="114">
        <v>0</v>
      </c>
      <c r="P102" s="272">
        <f t="shared" si="1"/>
        <v>0</v>
      </c>
      <c r="Q102" s="114">
        <v>0.44902500000000001</v>
      </c>
      <c r="R102" s="114">
        <v>0.44902500000000001</v>
      </c>
      <c r="S102" s="114">
        <v>0.44902500000000001</v>
      </c>
      <c r="T102" s="114">
        <v>0.44902500000000001</v>
      </c>
      <c r="U102" s="114">
        <v>0.44695000000000007</v>
      </c>
      <c r="V102" s="114">
        <v>0.44695000000000007</v>
      </c>
      <c r="W102" s="114">
        <v>0.44695000000000007</v>
      </c>
      <c r="X102" s="114">
        <v>0.44695000000000007</v>
      </c>
      <c r="Y102" s="116" t="s">
        <v>505</v>
      </c>
      <c r="Z102" s="116"/>
    </row>
    <row r="103" spans="1:142" x14ac:dyDescent="0.45">
      <c r="B103" s="171"/>
      <c r="C103" s="171" t="s">
        <v>510</v>
      </c>
      <c r="D103" s="173" t="s">
        <v>511</v>
      </c>
      <c r="E103" s="172" t="s">
        <v>417</v>
      </c>
      <c r="F103" s="111" t="s">
        <v>273</v>
      </c>
      <c r="G103" s="112">
        <v>0</v>
      </c>
      <c r="H103" s="112">
        <v>1</v>
      </c>
      <c r="I103" s="112">
        <v>0</v>
      </c>
      <c r="J103" s="112">
        <v>0</v>
      </c>
      <c r="K103" s="270">
        <v>0</v>
      </c>
      <c r="L103" s="114">
        <v>0</v>
      </c>
      <c r="M103" s="114">
        <v>0</v>
      </c>
      <c r="N103" s="114">
        <v>1</v>
      </c>
      <c r="O103" s="114">
        <v>0</v>
      </c>
      <c r="P103" s="272">
        <f t="shared" si="1"/>
        <v>1</v>
      </c>
      <c r="Q103" s="114">
        <v>3.8250000000000006E-2</v>
      </c>
      <c r="R103" s="114">
        <v>3.8250000000000006E-2</v>
      </c>
      <c r="S103" s="114">
        <v>3.8250000000000006E-2</v>
      </c>
      <c r="T103" s="114">
        <v>3.8250000000000006E-2</v>
      </c>
      <c r="U103" s="114">
        <v>2.5750000000000006E-2</v>
      </c>
      <c r="V103" s="114">
        <v>2.5750000000000006E-2</v>
      </c>
      <c r="W103" s="114">
        <v>2.5750000000000006E-2</v>
      </c>
      <c r="X103" s="114">
        <v>2.5750000000000006E-2</v>
      </c>
      <c r="Y103" s="116" t="s">
        <v>505</v>
      </c>
      <c r="Z103" s="116"/>
    </row>
    <row r="104" spans="1:142" x14ac:dyDescent="0.45">
      <c r="B104" s="171"/>
      <c r="C104" s="171"/>
      <c r="D104" s="173" t="s">
        <v>512</v>
      </c>
      <c r="E104" s="172" t="s">
        <v>419</v>
      </c>
      <c r="F104" s="111" t="s">
        <v>273</v>
      </c>
      <c r="G104" s="112">
        <v>2</v>
      </c>
      <c r="H104" s="112">
        <v>3</v>
      </c>
      <c r="I104" s="112">
        <v>1</v>
      </c>
      <c r="J104" s="112">
        <v>0</v>
      </c>
      <c r="K104" s="270">
        <v>0</v>
      </c>
      <c r="L104" s="114">
        <v>0</v>
      </c>
      <c r="M104" s="114">
        <v>0</v>
      </c>
      <c r="N104" s="114">
        <v>0</v>
      </c>
      <c r="O104" s="114">
        <v>0</v>
      </c>
      <c r="P104" s="272">
        <f t="shared" si="1"/>
        <v>0</v>
      </c>
      <c r="Q104" s="114">
        <v>0.28350000000000003</v>
      </c>
      <c r="R104" s="114">
        <v>0.28350000000000003</v>
      </c>
      <c r="S104" s="114">
        <v>0.28350000000000003</v>
      </c>
      <c r="T104" s="114">
        <v>0.28350000000000003</v>
      </c>
      <c r="U104" s="114">
        <v>0.27815000000000001</v>
      </c>
      <c r="V104" s="114">
        <v>0.27815000000000001</v>
      </c>
      <c r="W104" s="114">
        <v>0.27815000000000001</v>
      </c>
      <c r="X104" s="114">
        <v>0.27815000000000001</v>
      </c>
      <c r="Y104" s="116" t="s">
        <v>505</v>
      </c>
      <c r="Z104" s="116"/>
    </row>
    <row r="105" spans="1:142" x14ac:dyDescent="0.45">
      <c r="B105" s="171"/>
      <c r="C105" s="171"/>
      <c r="D105" s="173" t="s">
        <v>513</v>
      </c>
      <c r="E105" s="172" t="s">
        <v>421</v>
      </c>
      <c r="F105" s="111" t="s">
        <v>273</v>
      </c>
      <c r="G105" s="112">
        <v>0</v>
      </c>
      <c r="H105" s="112">
        <v>0</v>
      </c>
      <c r="I105" s="112">
        <v>1</v>
      </c>
      <c r="J105" s="112">
        <v>0</v>
      </c>
      <c r="K105" s="270">
        <v>1</v>
      </c>
      <c r="L105" s="114">
        <v>0</v>
      </c>
      <c r="M105" s="114">
        <v>0</v>
      </c>
      <c r="N105" s="114">
        <v>1</v>
      </c>
      <c r="O105" s="114">
        <v>0</v>
      </c>
      <c r="P105" s="272">
        <f t="shared" si="1"/>
        <v>1</v>
      </c>
      <c r="Q105" s="114">
        <v>6.6500000000000004E-2</v>
      </c>
      <c r="R105" s="114">
        <v>6.6500000000000004E-2</v>
      </c>
      <c r="S105" s="114">
        <v>6.6500000000000004E-2</v>
      </c>
      <c r="T105" s="114">
        <v>6.6500000000000004E-2</v>
      </c>
      <c r="U105" s="114">
        <v>0.05</v>
      </c>
      <c r="V105" s="114">
        <v>0.05</v>
      </c>
      <c r="W105" s="114">
        <v>0.05</v>
      </c>
      <c r="X105" s="114">
        <v>0.05</v>
      </c>
      <c r="Y105" s="116" t="s">
        <v>505</v>
      </c>
      <c r="Z105" s="116"/>
    </row>
    <row r="106" spans="1:142" x14ac:dyDescent="0.45">
      <c r="B106" s="171"/>
      <c r="C106" s="171"/>
      <c r="D106" s="173" t="s">
        <v>514</v>
      </c>
      <c r="E106" s="172" t="s">
        <v>347</v>
      </c>
      <c r="F106" s="111" t="s">
        <v>273</v>
      </c>
      <c r="G106" s="112">
        <v>0</v>
      </c>
      <c r="H106" s="112">
        <v>2</v>
      </c>
      <c r="I106" s="112">
        <v>1</v>
      </c>
      <c r="J106" s="112">
        <v>0</v>
      </c>
      <c r="K106" s="270">
        <v>0</v>
      </c>
      <c r="L106" s="114">
        <v>1</v>
      </c>
      <c r="M106" s="114">
        <v>0</v>
      </c>
      <c r="N106" s="114">
        <v>2</v>
      </c>
      <c r="O106" s="114">
        <v>2</v>
      </c>
      <c r="P106" s="272">
        <f t="shared" si="1"/>
        <v>5</v>
      </c>
      <c r="Q106" s="114">
        <v>0.15000000000000002</v>
      </c>
      <c r="R106" s="114">
        <v>0.15000000000000002</v>
      </c>
      <c r="S106" s="114">
        <v>0.15000000000000002</v>
      </c>
      <c r="T106" s="114">
        <v>0.15000000000000002</v>
      </c>
      <c r="U106" s="114">
        <v>0.14750000000000002</v>
      </c>
      <c r="V106" s="114">
        <v>0.14750000000000002</v>
      </c>
      <c r="W106" s="114">
        <v>0.14750000000000002</v>
      </c>
      <c r="X106" s="114">
        <v>0.14750000000000002</v>
      </c>
      <c r="Y106" s="116" t="s">
        <v>505</v>
      </c>
      <c r="Z106" s="116"/>
    </row>
    <row r="107" spans="1:142" x14ac:dyDescent="0.45">
      <c r="B107" s="171"/>
      <c r="C107" s="171"/>
      <c r="D107" s="173" t="s">
        <v>515</v>
      </c>
      <c r="E107" s="172" t="s">
        <v>424</v>
      </c>
      <c r="F107" s="111" t="s">
        <v>273</v>
      </c>
      <c r="G107" s="112">
        <v>1</v>
      </c>
      <c r="H107" s="112">
        <v>0</v>
      </c>
      <c r="I107" s="112">
        <v>0</v>
      </c>
      <c r="J107" s="112">
        <v>1</v>
      </c>
      <c r="K107" s="270">
        <v>1</v>
      </c>
      <c r="L107" s="114">
        <v>0</v>
      </c>
      <c r="M107" s="114">
        <v>0</v>
      </c>
      <c r="N107" s="114">
        <v>1</v>
      </c>
      <c r="O107" s="114">
        <v>0</v>
      </c>
      <c r="P107" s="272">
        <f t="shared" si="1"/>
        <v>1</v>
      </c>
      <c r="Q107" s="114">
        <v>0.141125</v>
      </c>
      <c r="R107" s="114">
        <v>0.141125</v>
      </c>
      <c r="S107" s="114">
        <v>0.141125</v>
      </c>
      <c r="T107" s="114">
        <v>0.141125</v>
      </c>
      <c r="U107" s="114">
        <v>0.13762500000000003</v>
      </c>
      <c r="V107" s="114">
        <v>0.13762500000000003</v>
      </c>
      <c r="W107" s="114">
        <v>0.13762500000000003</v>
      </c>
      <c r="X107" s="114">
        <v>0.13762500000000003</v>
      </c>
      <c r="Y107" s="116" t="s">
        <v>505</v>
      </c>
      <c r="Z107" s="116"/>
    </row>
    <row r="108" spans="1:142" x14ac:dyDescent="0.45">
      <c r="B108" s="171"/>
      <c r="C108" s="171"/>
      <c r="D108" s="173" t="s">
        <v>516</v>
      </c>
      <c r="E108" s="172" t="s">
        <v>426</v>
      </c>
      <c r="F108" s="111" t="s">
        <v>273</v>
      </c>
      <c r="G108" s="112">
        <v>0</v>
      </c>
      <c r="H108" s="112">
        <v>0</v>
      </c>
      <c r="I108" s="112">
        <v>0</v>
      </c>
      <c r="J108" s="112">
        <v>0</v>
      </c>
      <c r="K108" s="270">
        <v>0</v>
      </c>
      <c r="L108" s="114">
        <v>0</v>
      </c>
      <c r="M108" s="114">
        <v>0</v>
      </c>
      <c r="N108" s="114">
        <v>0</v>
      </c>
      <c r="O108" s="114">
        <v>1</v>
      </c>
      <c r="P108" s="272">
        <f t="shared" si="1"/>
        <v>1</v>
      </c>
      <c r="Q108" s="114">
        <v>0</v>
      </c>
      <c r="R108" s="114">
        <v>0</v>
      </c>
      <c r="S108" s="114">
        <v>0</v>
      </c>
      <c r="T108" s="114">
        <v>0</v>
      </c>
      <c r="U108" s="114">
        <v>0</v>
      </c>
      <c r="V108" s="114">
        <v>0</v>
      </c>
      <c r="W108" s="114">
        <v>0</v>
      </c>
      <c r="X108" s="114">
        <v>0</v>
      </c>
      <c r="Y108" s="116" t="s">
        <v>505</v>
      </c>
      <c r="Z108" s="116"/>
    </row>
    <row r="109" spans="1:142" x14ac:dyDescent="0.45">
      <c r="B109" s="171"/>
      <c r="C109" s="171"/>
      <c r="D109" s="173" t="s">
        <v>517</v>
      </c>
      <c r="E109" s="172" t="s">
        <v>428</v>
      </c>
      <c r="F109" s="111" t="s">
        <v>184</v>
      </c>
      <c r="G109" s="112">
        <v>0</v>
      </c>
      <c r="H109" s="112">
        <v>0</v>
      </c>
      <c r="I109" s="112">
        <v>0</v>
      </c>
      <c r="J109" s="112">
        <v>0</v>
      </c>
      <c r="K109" s="270">
        <v>0</v>
      </c>
      <c r="L109" s="114">
        <v>0</v>
      </c>
      <c r="M109" s="114">
        <v>0</v>
      </c>
      <c r="N109" s="114">
        <v>0</v>
      </c>
      <c r="O109" s="114">
        <v>0</v>
      </c>
      <c r="P109" s="272">
        <f t="shared" si="1"/>
        <v>0</v>
      </c>
      <c r="Q109" s="114">
        <v>0</v>
      </c>
      <c r="R109" s="114">
        <v>0</v>
      </c>
      <c r="S109" s="114">
        <v>0</v>
      </c>
      <c r="T109" s="114">
        <v>0</v>
      </c>
      <c r="U109" s="114">
        <v>0</v>
      </c>
      <c r="V109" s="114">
        <v>0</v>
      </c>
      <c r="W109" s="114">
        <v>0</v>
      </c>
      <c r="X109" s="114">
        <v>0</v>
      </c>
      <c r="Y109" s="116" t="s">
        <v>505</v>
      </c>
      <c r="Z109" s="116"/>
    </row>
    <row r="110" spans="1:142" x14ac:dyDescent="0.45">
      <c r="B110" s="171"/>
      <c r="C110" s="171"/>
      <c r="D110" s="173" t="s">
        <v>518</v>
      </c>
      <c r="E110" s="172" t="s">
        <v>345</v>
      </c>
      <c r="F110" s="111" t="s">
        <v>273</v>
      </c>
      <c r="G110" s="112">
        <v>0</v>
      </c>
      <c r="H110" s="112">
        <v>0</v>
      </c>
      <c r="I110" s="112">
        <v>0</v>
      </c>
      <c r="J110" s="112">
        <v>0</v>
      </c>
      <c r="K110" s="270">
        <v>1</v>
      </c>
      <c r="L110" s="114">
        <v>0</v>
      </c>
      <c r="M110" s="114">
        <v>0</v>
      </c>
      <c r="N110" s="114">
        <v>0</v>
      </c>
      <c r="O110" s="114">
        <v>0</v>
      </c>
      <c r="P110" s="272">
        <f t="shared" si="1"/>
        <v>0</v>
      </c>
      <c r="Q110" s="114">
        <v>4.9975000000000006E-2</v>
      </c>
      <c r="R110" s="114">
        <v>4.9975000000000006E-2</v>
      </c>
      <c r="S110" s="114">
        <v>4.9975000000000006E-2</v>
      </c>
      <c r="T110" s="114">
        <v>4.9975000000000006E-2</v>
      </c>
      <c r="U110" s="114">
        <v>4.9950000000000008E-2</v>
      </c>
      <c r="V110" s="114">
        <v>4.9950000000000008E-2</v>
      </c>
      <c r="W110" s="114">
        <v>4.9950000000000008E-2</v>
      </c>
      <c r="X110" s="114">
        <v>4.9950000000000008E-2</v>
      </c>
      <c r="Y110" s="116" t="s">
        <v>505</v>
      </c>
      <c r="Z110" s="116"/>
    </row>
    <row r="111" spans="1:142" x14ac:dyDescent="0.45">
      <c r="B111" s="171"/>
      <c r="C111" s="171"/>
      <c r="D111" s="173" t="s">
        <v>519</v>
      </c>
      <c r="E111" s="172" t="s">
        <v>431</v>
      </c>
      <c r="F111" s="111" t="s">
        <v>184</v>
      </c>
      <c r="G111" s="112">
        <v>0</v>
      </c>
      <c r="H111" s="112">
        <v>0</v>
      </c>
      <c r="I111" s="112">
        <v>0</v>
      </c>
      <c r="J111" s="112">
        <v>0</v>
      </c>
      <c r="K111" s="270">
        <v>0</v>
      </c>
      <c r="L111" s="114">
        <v>0</v>
      </c>
      <c r="M111" s="114">
        <v>0</v>
      </c>
      <c r="N111" s="114">
        <v>0</v>
      </c>
      <c r="O111" s="114">
        <v>0</v>
      </c>
      <c r="P111" s="272">
        <f t="shared" si="1"/>
        <v>0</v>
      </c>
      <c r="Q111" s="114">
        <v>0</v>
      </c>
      <c r="R111" s="114">
        <v>0</v>
      </c>
      <c r="S111" s="114">
        <v>0</v>
      </c>
      <c r="T111" s="114">
        <v>0</v>
      </c>
      <c r="U111" s="114">
        <v>0</v>
      </c>
      <c r="V111" s="114">
        <v>0</v>
      </c>
      <c r="W111" s="114">
        <v>0</v>
      </c>
      <c r="X111" s="114">
        <v>0</v>
      </c>
      <c r="Y111" s="116" t="s">
        <v>505</v>
      </c>
      <c r="Z111" s="116"/>
    </row>
    <row r="112" spans="1:142" x14ac:dyDescent="0.45">
      <c r="B112" s="171"/>
      <c r="C112" s="171"/>
      <c r="D112" s="173" t="s">
        <v>520</v>
      </c>
      <c r="E112" s="172" t="s">
        <v>433</v>
      </c>
      <c r="F112" s="111" t="s">
        <v>184</v>
      </c>
      <c r="G112" s="112">
        <v>0</v>
      </c>
      <c r="H112" s="112">
        <v>0</v>
      </c>
      <c r="I112" s="112">
        <v>0</v>
      </c>
      <c r="J112" s="112">
        <v>0</v>
      </c>
      <c r="K112" s="270">
        <v>0</v>
      </c>
      <c r="L112" s="114">
        <v>0</v>
      </c>
      <c r="M112" s="114">
        <v>0</v>
      </c>
      <c r="N112" s="114">
        <v>0</v>
      </c>
      <c r="O112" s="114">
        <v>0</v>
      </c>
      <c r="P112" s="272">
        <f t="shared" si="1"/>
        <v>0</v>
      </c>
      <c r="Q112" s="114">
        <v>0</v>
      </c>
      <c r="R112" s="114">
        <v>0</v>
      </c>
      <c r="S112" s="114">
        <v>0</v>
      </c>
      <c r="T112" s="114">
        <v>0</v>
      </c>
      <c r="U112" s="114">
        <v>0</v>
      </c>
      <c r="V112" s="114">
        <v>0</v>
      </c>
      <c r="W112" s="114">
        <v>0</v>
      </c>
      <c r="X112" s="114">
        <v>0</v>
      </c>
      <c r="Y112" s="116" t="s">
        <v>505</v>
      </c>
      <c r="Z112" s="116"/>
    </row>
    <row r="113" spans="1:26" x14ac:dyDescent="0.45">
      <c r="B113" s="171"/>
      <c r="C113" s="171"/>
      <c r="D113" s="173" t="s">
        <v>521</v>
      </c>
      <c r="E113" s="172" t="s">
        <v>435</v>
      </c>
      <c r="F113" s="111" t="s">
        <v>273</v>
      </c>
      <c r="G113" s="112">
        <v>0</v>
      </c>
      <c r="H113" s="112">
        <v>0</v>
      </c>
      <c r="I113" s="112">
        <v>0</v>
      </c>
      <c r="J113" s="112">
        <v>1</v>
      </c>
      <c r="K113" s="270">
        <v>1</v>
      </c>
      <c r="L113" s="114">
        <v>0</v>
      </c>
      <c r="M113" s="114">
        <v>0</v>
      </c>
      <c r="N113" s="114">
        <v>0</v>
      </c>
      <c r="O113" s="114">
        <v>1</v>
      </c>
      <c r="P113" s="272">
        <f t="shared" si="1"/>
        <v>1</v>
      </c>
      <c r="Q113" s="114">
        <v>9.9950000000000011E-2</v>
      </c>
      <c r="R113" s="114">
        <v>9.9950000000000011E-2</v>
      </c>
      <c r="S113" s="114">
        <v>9.9950000000000011E-2</v>
      </c>
      <c r="T113" s="114">
        <v>9.9950000000000011E-2</v>
      </c>
      <c r="U113" s="114">
        <v>9.9900000000000017E-2</v>
      </c>
      <c r="V113" s="114">
        <v>9.9900000000000017E-2</v>
      </c>
      <c r="W113" s="114">
        <v>9.9900000000000017E-2</v>
      </c>
      <c r="X113" s="114">
        <v>9.9900000000000017E-2</v>
      </c>
      <c r="Y113" s="116" t="s">
        <v>505</v>
      </c>
      <c r="Z113" s="116"/>
    </row>
    <row r="114" spans="1:26" x14ac:dyDescent="0.45">
      <c r="B114" s="171"/>
      <c r="C114" s="171"/>
      <c r="D114" s="173" t="s">
        <v>522</v>
      </c>
      <c r="E114" s="172" t="s">
        <v>437</v>
      </c>
      <c r="F114" s="111" t="s">
        <v>184</v>
      </c>
      <c r="G114" s="112">
        <v>0</v>
      </c>
      <c r="H114" s="112">
        <v>0</v>
      </c>
      <c r="I114" s="112">
        <v>0</v>
      </c>
      <c r="J114" s="112">
        <v>0</v>
      </c>
      <c r="K114" s="270">
        <v>0</v>
      </c>
      <c r="L114" s="114">
        <v>0</v>
      </c>
      <c r="M114" s="114">
        <v>0</v>
      </c>
      <c r="N114" s="114">
        <v>0</v>
      </c>
      <c r="O114" s="114">
        <v>0</v>
      </c>
      <c r="P114" s="272">
        <f t="shared" si="1"/>
        <v>0</v>
      </c>
      <c r="Q114" s="114">
        <v>0</v>
      </c>
      <c r="R114" s="114">
        <v>0</v>
      </c>
      <c r="S114" s="114">
        <v>0</v>
      </c>
      <c r="T114" s="114">
        <v>0</v>
      </c>
      <c r="U114" s="114">
        <v>0</v>
      </c>
      <c r="V114" s="114">
        <v>0</v>
      </c>
      <c r="W114" s="114">
        <v>0</v>
      </c>
      <c r="X114" s="114">
        <v>0</v>
      </c>
      <c r="Y114" s="116" t="s">
        <v>505</v>
      </c>
      <c r="Z114" s="116"/>
    </row>
    <row r="115" spans="1:26" x14ac:dyDescent="0.45">
      <c r="B115" s="171"/>
      <c r="C115" s="171"/>
      <c r="D115" s="173" t="s">
        <v>523</v>
      </c>
      <c r="E115" s="172" t="s">
        <v>439</v>
      </c>
      <c r="F115" s="111" t="s">
        <v>273</v>
      </c>
      <c r="G115" s="112">
        <v>2</v>
      </c>
      <c r="H115" s="112">
        <v>3</v>
      </c>
      <c r="I115" s="112">
        <v>0</v>
      </c>
      <c r="J115" s="112">
        <v>0</v>
      </c>
      <c r="K115" s="270">
        <v>1</v>
      </c>
      <c r="L115" s="114">
        <v>1</v>
      </c>
      <c r="M115" s="114">
        <v>0</v>
      </c>
      <c r="N115" s="114">
        <v>2</v>
      </c>
      <c r="O115" s="114">
        <v>0</v>
      </c>
      <c r="P115" s="272">
        <f t="shared" si="1"/>
        <v>3</v>
      </c>
      <c r="Q115" s="114">
        <v>0.29044999999999999</v>
      </c>
      <c r="R115" s="114">
        <v>0.29044999999999999</v>
      </c>
      <c r="S115" s="114">
        <v>0.29044999999999999</v>
      </c>
      <c r="T115" s="114">
        <v>0.29044999999999999</v>
      </c>
      <c r="U115" s="114">
        <v>0.28680000000000005</v>
      </c>
      <c r="V115" s="114">
        <v>0.28680000000000005</v>
      </c>
      <c r="W115" s="114">
        <v>0.28680000000000005</v>
      </c>
      <c r="X115" s="114">
        <v>0.28680000000000005</v>
      </c>
      <c r="Y115" s="116" t="s">
        <v>505</v>
      </c>
      <c r="Z115" s="116"/>
    </row>
    <row r="116" spans="1:26" x14ac:dyDescent="0.45">
      <c r="B116" s="171"/>
      <c r="C116" s="171"/>
      <c r="D116" s="173" t="s">
        <v>524</v>
      </c>
      <c r="E116" s="172" t="s">
        <v>441</v>
      </c>
      <c r="F116" s="111" t="s">
        <v>273</v>
      </c>
      <c r="G116" s="112">
        <v>1</v>
      </c>
      <c r="H116" s="112">
        <v>2</v>
      </c>
      <c r="I116" s="112">
        <v>0</v>
      </c>
      <c r="J116" s="112">
        <v>1</v>
      </c>
      <c r="K116" s="270">
        <v>0</v>
      </c>
      <c r="L116" s="114">
        <v>0</v>
      </c>
      <c r="M116" s="114">
        <v>0</v>
      </c>
      <c r="N116" s="114">
        <v>1</v>
      </c>
      <c r="O116" s="114">
        <v>0</v>
      </c>
      <c r="P116" s="272">
        <f t="shared" si="1"/>
        <v>1</v>
      </c>
      <c r="Q116" s="114">
        <v>0.18487500000000001</v>
      </c>
      <c r="R116" s="114">
        <v>0.18487500000000001</v>
      </c>
      <c r="S116" s="114">
        <v>0.18487500000000001</v>
      </c>
      <c r="T116" s="114">
        <v>0.18487500000000001</v>
      </c>
      <c r="U116" s="114">
        <v>0.1804</v>
      </c>
      <c r="V116" s="114">
        <v>0.1804</v>
      </c>
      <c r="W116" s="114">
        <v>0.1804</v>
      </c>
      <c r="X116" s="114">
        <v>0.1804</v>
      </c>
      <c r="Y116" s="116" t="s">
        <v>505</v>
      </c>
      <c r="Z116" s="116"/>
    </row>
    <row r="117" spans="1:26" x14ac:dyDescent="0.45">
      <c r="B117" s="171"/>
      <c r="C117" s="171"/>
      <c r="D117" s="173" t="s">
        <v>525</v>
      </c>
      <c r="E117" s="172" t="s">
        <v>350</v>
      </c>
      <c r="F117" s="111" t="s">
        <v>273</v>
      </c>
      <c r="G117" s="112">
        <v>0</v>
      </c>
      <c r="H117" s="112">
        <v>1</v>
      </c>
      <c r="I117" s="112">
        <v>1</v>
      </c>
      <c r="J117" s="112">
        <v>3</v>
      </c>
      <c r="K117" s="270">
        <v>3</v>
      </c>
      <c r="L117" s="114">
        <v>0</v>
      </c>
      <c r="M117" s="114">
        <v>0</v>
      </c>
      <c r="N117" s="114">
        <v>2</v>
      </c>
      <c r="O117" s="114">
        <v>0</v>
      </c>
      <c r="P117" s="272">
        <f t="shared" si="1"/>
        <v>2</v>
      </c>
      <c r="Q117" s="114">
        <v>0.38305</v>
      </c>
      <c r="R117" s="114">
        <v>0.38305</v>
      </c>
      <c r="S117" s="114">
        <v>0.38305</v>
      </c>
      <c r="T117" s="114">
        <v>0.38305</v>
      </c>
      <c r="U117" s="114">
        <v>0.37687499999999996</v>
      </c>
      <c r="V117" s="114">
        <v>0.37687499999999996</v>
      </c>
      <c r="W117" s="114">
        <v>0.37687499999999996</v>
      </c>
      <c r="X117" s="114">
        <v>0.37687499999999996</v>
      </c>
      <c r="Y117" s="116" t="s">
        <v>505</v>
      </c>
      <c r="Z117" s="116"/>
    </row>
    <row r="118" spans="1:26" x14ac:dyDescent="0.45">
      <c r="B118" s="171"/>
      <c r="C118" s="171" t="s">
        <v>526</v>
      </c>
      <c r="D118" s="173" t="s">
        <v>527</v>
      </c>
      <c r="E118" s="172" t="s">
        <v>352</v>
      </c>
      <c r="F118" s="111" t="s">
        <v>273</v>
      </c>
      <c r="G118" s="112">
        <v>0</v>
      </c>
      <c r="H118" s="112">
        <v>0</v>
      </c>
      <c r="I118" s="112">
        <v>0</v>
      </c>
      <c r="J118" s="112">
        <v>1</v>
      </c>
      <c r="K118" s="270">
        <v>2</v>
      </c>
      <c r="L118" s="114">
        <v>0</v>
      </c>
      <c r="M118" s="114">
        <v>0</v>
      </c>
      <c r="N118" s="114">
        <v>0</v>
      </c>
      <c r="O118" s="114">
        <v>0</v>
      </c>
      <c r="P118" s="272">
        <f t="shared" si="1"/>
        <v>0</v>
      </c>
      <c r="Q118" s="114">
        <v>0.14905000000000002</v>
      </c>
      <c r="R118" s="114">
        <v>0.14905000000000002</v>
      </c>
      <c r="S118" s="114">
        <v>0.14905000000000002</v>
      </c>
      <c r="T118" s="114">
        <v>0.14905000000000002</v>
      </c>
      <c r="U118" s="114">
        <v>0.14817500000000003</v>
      </c>
      <c r="V118" s="114">
        <v>0.14817500000000003</v>
      </c>
      <c r="W118" s="114">
        <v>0.14817500000000003</v>
      </c>
      <c r="X118" s="114">
        <v>0.14817500000000003</v>
      </c>
      <c r="Y118" s="116" t="s">
        <v>505</v>
      </c>
      <c r="Z118" s="116"/>
    </row>
    <row r="119" spans="1:26" x14ac:dyDescent="0.45">
      <c r="B119" s="171"/>
      <c r="C119" s="171" t="s">
        <v>528</v>
      </c>
      <c r="D119" s="173" t="s">
        <v>529</v>
      </c>
      <c r="E119" s="172" t="s">
        <v>354</v>
      </c>
      <c r="F119" s="111" t="s">
        <v>184</v>
      </c>
      <c r="G119" s="112">
        <v>0</v>
      </c>
      <c r="H119" s="112">
        <v>0</v>
      </c>
      <c r="I119" s="112">
        <v>0</v>
      </c>
      <c r="J119" s="112">
        <v>0</v>
      </c>
      <c r="K119" s="270">
        <v>0</v>
      </c>
      <c r="L119" s="114">
        <v>0</v>
      </c>
      <c r="M119" s="114">
        <v>0</v>
      </c>
      <c r="N119" s="114">
        <v>0</v>
      </c>
      <c r="O119" s="114">
        <v>0</v>
      </c>
      <c r="P119" s="272">
        <f t="shared" si="1"/>
        <v>0</v>
      </c>
      <c r="Q119" s="114">
        <v>0</v>
      </c>
      <c r="R119" s="114">
        <v>0</v>
      </c>
      <c r="S119" s="114">
        <v>0</v>
      </c>
      <c r="T119" s="114">
        <v>0</v>
      </c>
      <c r="U119" s="114">
        <v>0</v>
      </c>
      <c r="V119" s="114">
        <v>0</v>
      </c>
      <c r="W119" s="114">
        <v>0</v>
      </c>
      <c r="X119" s="114">
        <v>0</v>
      </c>
      <c r="Y119" s="116" t="s">
        <v>505</v>
      </c>
      <c r="Z119" s="116"/>
    </row>
    <row r="120" spans="1:26" x14ac:dyDescent="0.45">
      <c r="B120" s="171"/>
      <c r="C120" s="171" t="s">
        <v>530</v>
      </c>
      <c r="D120" s="173" t="s">
        <v>531</v>
      </c>
      <c r="E120" s="172" t="s">
        <v>356</v>
      </c>
      <c r="F120" s="111" t="s">
        <v>184</v>
      </c>
      <c r="G120" s="112">
        <v>0</v>
      </c>
      <c r="H120" s="112">
        <v>0</v>
      </c>
      <c r="I120" s="112">
        <v>0</v>
      </c>
      <c r="J120" s="112">
        <v>0</v>
      </c>
      <c r="K120" s="270">
        <v>0</v>
      </c>
      <c r="L120" s="114">
        <v>0</v>
      </c>
      <c r="M120" s="114">
        <v>0</v>
      </c>
      <c r="N120" s="114">
        <v>0</v>
      </c>
      <c r="O120" s="114">
        <v>0</v>
      </c>
      <c r="P120" s="272">
        <f t="shared" si="1"/>
        <v>0</v>
      </c>
      <c r="Q120" s="114">
        <v>0</v>
      </c>
      <c r="R120" s="114">
        <v>0</v>
      </c>
      <c r="S120" s="114">
        <v>0</v>
      </c>
      <c r="T120" s="114">
        <v>0</v>
      </c>
      <c r="U120" s="114">
        <v>0</v>
      </c>
      <c r="V120" s="114">
        <v>0</v>
      </c>
      <c r="W120" s="114">
        <v>0</v>
      </c>
      <c r="X120" s="114">
        <v>0</v>
      </c>
      <c r="Y120" s="116" t="s">
        <v>505</v>
      </c>
      <c r="Z120" s="116"/>
    </row>
    <row r="121" spans="1:26" x14ac:dyDescent="0.45">
      <c r="B121" s="171"/>
      <c r="C121" s="171" t="s">
        <v>532</v>
      </c>
      <c r="D121" s="173" t="s">
        <v>533</v>
      </c>
      <c r="E121" s="172" t="s">
        <v>358</v>
      </c>
      <c r="F121" s="111" t="s">
        <v>273</v>
      </c>
      <c r="G121" s="112">
        <v>0</v>
      </c>
      <c r="H121" s="112">
        <v>1</v>
      </c>
      <c r="I121" s="112">
        <v>1</v>
      </c>
      <c r="J121" s="112">
        <v>0</v>
      </c>
      <c r="K121" s="270">
        <v>0</v>
      </c>
      <c r="L121" s="114">
        <v>0</v>
      </c>
      <c r="M121" s="114">
        <v>0</v>
      </c>
      <c r="N121" s="114">
        <v>0</v>
      </c>
      <c r="O121" s="114">
        <v>0</v>
      </c>
      <c r="P121" s="272">
        <f t="shared" si="1"/>
        <v>0</v>
      </c>
      <c r="Q121" s="114">
        <v>9.9650000000000002E-2</v>
      </c>
      <c r="R121" s="114">
        <v>9.9650000000000002E-2</v>
      </c>
      <c r="S121" s="114">
        <v>9.9650000000000002E-2</v>
      </c>
      <c r="T121" s="114">
        <v>9.9650000000000002E-2</v>
      </c>
      <c r="U121" s="114">
        <v>9.9125000000000005E-2</v>
      </c>
      <c r="V121" s="114">
        <v>9.9125000000000005E-2</v>
      </c>
      <c r="W121" s="114">
        <v>9.9125000000000005E-2</v>
      </c>
      <c r="X121" s="114">
        <v>9.9125000000000005E-2</v>
      </c>
      <c r="Y121" s="116" t="s">
        <v>505</v>
      </c>
      <c r="Z121" s="116"/>
    </row>
    <row r="122" spans="1:26" x14ac:dyDescent="0.45">
      <c r="B122" s="171"/>
      <c r="C122" s="171" t="s">
        <v>534</v>
      </c>
      <c r="D122" s="173" t="s">
        <v>535</v>
      </c>
      <c r="E122" s="172" t="s">
        <v>360</v>
      </c>
      <c r="F122" s="111" t="s">
        <v>184</v>
      </c>
      <c r="G122" s="112">
        <v>0</v>
      </c>
      <c r="H122" s="112">
        <v>0</v>
      </c>
      <c r="I122" s="112">
        <v>0</v>
      </c>
      <c r="J122" s="112">
        <v>0</v>
      </c>
      <c r="K122" s="270">
        <v>0</v>
      </c>
      <c r="L122" s="114">
        <v>0</v>
      </c>
      <c r="M122" s="114">
        <v>0</v>
      </c>
      <c r="N122" s="114">
        <v>0</v>
      </c>
      <c r="O122" s="114">
        <v>0</v>
      </c>
      <c r="P122" s="272">
        <f t="shared" si="1"/>
        <v>0</v>
      </c>
      <c r="Q122" s="114">
        <v>0</v>
      </c>
      <c r="R122" s="114">
        <v>0</v>
      </c>
      <c r="S122" s="114">
        <v>0</v>
      </c>
      <c r="T122" s="114">
        <v>0</v>
      </c>
      <c r="U122" s="114">
        <v>0</v>
      </c>
      <c r="V122" s="114">
        <v>0</v>
      </c>
      <c r="W122" s="114">
        <v>0</v>
      </c>
      <c r="X122" s="114">
        <v>0</v>
      </c>
      <c r="Y122" s="116" t="s">
        <v>505</v>
      </c>
      <c r="Z122" s="116"/>
    </row>
    <row r="123" spans="1:26" x14ac:dyDescent="0.45">
      <c r="B123" s="171"/>
      <c r="C123" s="171" t="s">
        <v>536</v>
      </c>
      <c r="D123" s="173" t="s">
        <v>537</v>
      </c>
      <c r="E123" s="172" t="s">
        <v>362</v>
      </c>
      <c r="F123" s="111" t="s">
        <v>273</v>
      </c>
      <c r="G123" s="112">
        <v>2</v>
      </c>
      <c r="H123" s="112">
        <v>0</v>
      </c>
      <c r="I123" s="112">
        <v>1</v>
      </c>
      <c r="J123" s="112">
        <v>0</v>
      </c>
      <c r="K123" s="270">
        <v>0</v>
      </c>
      <c r="L123" s="114">
        <v>0</v>
      </c>
      <c r="M123" s="114">
        <v>0</v>
      </c>
      <c r="N123" s="114">
        <v>0</v>
      </c>
      <c r="O123" s="114">
        <v>0</v>
      </c>
      <c r="P123" s="272">
        <f t="shared" si="1"/>
        <v>0</v>
      </c>
      <c r="Q123" s="114">
        <v>0.1472</v>
      </c>
      <c r="R123" s="114">
        <v>0.1472</v>
      </c>
      <c r="S123" s="114">
        <v>0.1472</v>
      </c>
      <c r="T123" s="114">
        <v>0.1472</v>
      </c>
      <c r="U123" s="114">
        <v>0.14370000000000002</v>
      </c>
      <c r="V123" s="114">
        <v>0.14370000000000002</v>
      </c>
      <c r="W123" s="114">
        <v>0.14370000000000002</v>
      </c>
      <c r="X123" s="114">
        <v>0.14370000000000002</v>
      </c>
      <c r="Y123" s="116" t="s">
        <v>505</v>
      </c>
      <c r="Z123" s="116"/>
    </row>
    <row r="124" spans="1:26" x14ac:dyDescent="0.45">
      <c r="A124" s="8" t="s">
        <v>333</v>
      </c>
      <c r="B124" s="171" t="s">
        <v>538</v>
      </c>
      <c r="C124" s="171" t="s">
        <v>539</v>
      </c>
      <c r="D124" s="173" t="s">
        <v>540</v>
      </c>
      <c r="E124" s="172" t="s">
        <v>365</v>
      </c>
      <c r="F124" s="111" t="s">
        <v>273</v>
      </c>
      <c r="G124" s="112">
        <v>0</v>
      </c>
      <c r="H124" s="112">
        <v>0</v>
      </c>
      <c r="I124" s="112">
        <v>0</v>
      </c>
      <c r="J124" s="112">
        <v>0</v>
      </c>
      <c r="K124" s="270">
        <v>0</v>
      </c>
      <c r="L124" s="114">
        <v>0</v>
      </c>
      <c r="M124" s="114">
        <v>0</v>
      </c>
      <c r="N124" s="114">
        <v>0</v>
      </c>
      <c r="O124" s="114">
        <v>0</v>
      </c>
      <c r="P124" s="272">
        <f t="shared" si="1"/>
        <v>0</v>
      </c>
      <c r="Q124" s="114">
        <v>0</v>
      </c>
      <c r="R124" s="114">
        <v>0</v>
      </c>
      <c r="S124" s="114">
        <v>0</v>
      </c>
      <c r="T124" s="114">
        <v>0</v>
      </c>
      <c r="U124" s="114">
        <v>0</v>
      </c>
      <c r="V124" s="114">
        <v>0</v>
      </c>
      <c r="W124" s="114">
        <v>0</v>
      </c>
      <c r="X124" s="114">
        <v>0</v>
      </c>
      <c r="Y124" s="116" t="s">
        <v>505</v>
      </c>
      <c r="Z124" s="116"/>
    </row>
    <row r="125" spans="1:26" x14ac:dyDescent="0.45">
      <c r="B125" s="171"/>
      <c r="C125" s="171"/>
      <c r="D125" s="173" t="s">
        <v>541</v>
      </c>
      <c r="E125" s="172" t="s">
        <v>367</v>
      </c>
      <c r="F125" s="111" t="s">
        <v>273</v>
      </c>
      <c r="G125" s="112">
        <v>3</v>
      </c>
      <c r="H125" s="112">
        <v>0</v>
      </c>
      <c r="I125" s="112">
        <v>0</v>
      </c>
      <c r="J125" s="112">
        <v>1</v>
      </c>
      <c r="K125" s="270">
        <v>0</v>
      </c>
      <c r="L125" s="114">
        <v>0</v>
      </c>
      <c r="M125" s="114">
        <v>0</v>
      </c>
      <c r="N125" s="114">
        <v>0</v>
      </c>
      <c r="O125" s="114">
        <v>1</v>
      </c>
      <c r="P125" s="272">
        <f t="shared" si="1"/>
        <v>1</v>
      </c>
      <c r="Q125" s="114">
        <v>0.19370000000000001</v>
      </c>
      <c r="R125" s="114">
        <v>0.19370000000000001</v>
      </c>
      <c r="S125" s="114">
        <v>0.19370000000000001</v>
      </c>
      <c r="T125" s="114">
        <v>0.19370000000000001</v>
      </c>
      <c r="U125" s="114">
        <v>0.19175000000000003</v>
      </c>
      <c r="V125" s="114">
        <v>0.19175000000000003</v>
      </c>
      <c r="W125" s="114">
        <v>0.19175000000000003</v>
      </c>
      <c r="X125" s="114">
        <v>0.19175000000000003</v>
      </c>
      <c r="Y125" s="116" t="s">
        <v>505</v>
      </c>
      <c r="Z125" s="116"/>
    </row>
    <row r="126" spans="1:26" x14ac:dyDescent="0.45">
      <c r="B126" s="171"/>
      <c r="C126" s="171"/>
      <c r="D126" s="173" t="s">
        <v>542</v>
      </c>
      <c r="E126" s="172" t="s">
        <v>369</v>
      </c>
      <c r="F126" s="111" t="s">
        <v>273</v>
      </c>
      <c r="G126" s="112">
        <v>1</v>
      </c>
      <c r="H126" s="112">
        <v>0</v>
      </c>
      <c r="I126" s="112">
        <v>1</v>
      </c>
      <c r="J126" s="112">
        <v>0</v>
      </c>
      <c r="K126" s="270">
        <v>1</v>
      </c>
      <c r="L126" s="114">
        <v>0</v>
      </c>
      <c r="M126" s="114">
        <v>0</v>
      </c>
      <c r="N126" s="114">
        <v>0</v>
      </c>
      <c r="O126" s="114">
        <v>0</v>
      </c>
      <c r="P126" s="272">
        <f t="shared" si="1"/>
        <v>0</v>
      </c>
      <c r="Q126" s="114">
        <v>0.14369999999999999</v>
      </c>
      <c r="R126" s="114">
        <v>0.14369999999999999</v>
      </c>
      <c r="S126" s="114">
        <v>0.14369999999999999</v>
      </c>
      <c r="T126" s="114">
        <v>0.14369999999999999</v>
      </c>
      <c r="U126" s="114">
        <v>0.14175000000000001</v>
      </c>
      <c r="V126" s="114">
        <v>0.14175000000000001</v>
      </c>
      <c r="W126" s="114">
        <v>0.14175000000000001</v>
      </c>
      <c r="X126" s="114">
        <v>0.14175000000000001</v>
      </c>
      <c r="Y126" s="116" t="s">
        <v>505</v>
      </c>
      <c r="Z126" s="116"/>
    </row>
    <row r="127" spans="1:26" x14ac:dyDescent="0.45">
      <c r="B127" s="171"/>
      <c r="C127" s="171"/>
      <c r="D127" s="173" t="s">
        <v>543</v>
      </c>
      <c r="E127" s="172" t="s">
        <v>371</v>
      </c>
      <c r="F127" s="111" t="s">
        <v>273</v>
      </c>
      <c r="G127" s="112">
        <v>0</v>
      </c>
      <c r="H127" s="112">
        <v>0</v>
      </c>
      <c r="I127" s="112">
        <v>0</v>
      </c>
      <c r="J127" s="112">
        <v>3</v>
      </c>
      <c r="K127" s="270">
        <v>0</v>
      </c>
      <c r="L127" s="114">
        <v>0</v>
      </c>
      <c r="M127" s="114">
        <v>0</v>
      </c>
      <c r="N127" s="114">
        <v>0</v>
      </c>
      <c r="O127" s="114">
        <v>0</v>
      </c>
      <c r="P127" s="272">
        <f t="shared" si="1"/>
        <v>0</v>
      </c>
      <c r="Q127" s="114">
        <v>0.15000000000000002</v>
      </c>
      <c r="R127" s="114">
        <v>0.15000000000000002</v>
      </c>
      <c r="S127" s="114">
        <v>0.15000000000000002</v>
      </c>
      <c r="T127" s="114">
        <v>0.15000000000000002</v>
      </c>
      <c r="U127" s="114">
        <v>0.15000000000000002</v>
      </c>
      <c r="V127" s="114">
        <v>0.15000000000000002</v>
      </c>
      <c r="W127" s="114">
        <v>0.15000000000000002</v>
      </c>
      <c r="X127" s="114">
        <v>0.15000000000000002</v>
      </c>
      <c r="Y127" s="116" t="s">
        <v>505</v>
      </c>
      <c r="Z127" s="116"/>
    </row>
    <row r="128" spans="1:26" x14ac:dyDescent="0.45">
      <c r="B128" s="171"/>
      <c r="C128" s="171"/>
      <c r="D128" s="173" t="s">
        <v>544</v>
      </c>
      <c r="E128" s="172" t="s">
        <v>373</v>
      </c>
      <c r="F128" s="111" t="s">
        <v>273</v>
      </c>
      <c r="G128" s="112">
        <v>0</v>
      </c>
      <c r="H128" s="112">
        <v>1</v>
      </c>
      <c r="I128" s="112">
        <v>0</v>
      </c>
      <c r="J128" s="112">
        <v>1</v>
      </c>
      <c r="K128" s="270">
        <v>0</v>
      </c>
      <c r="L128" s="114">
        <v>0</v>
      </c>
      <c r="M128" s="114">
        <v>0</v>
      </c>
      <c r="N128" s="114">
        <v>0</v>
      </c>
      <c r="O128" s="114">
        <v>0</v>
      </c>
      <c r="P128" s="272">
        <f t="shared" si="1"/>
        <v>0</v>
      </c>
      <c r="Q128" s="114">
        <v>9.3700000000000006E-2</v>
      </c>
      <c r="R128" s="114">
        <v>9.3700000000000006E-2</v>
      </c>
      <c r="S128" s="114">
        <v>9.3700000000000006E-2</v>
      </c>
      <c r="T128" s="114">
        <v>9.3700000000000006E-2</v>
      </c>
      <c r="U128" s="114">
        <v>9.1750000000000012E-2</v>
      </c>
      <c r="V128" s="114">
        <v>9.1750000000000012E-2</v>
      </c>
      <c r="W128" s="114">
        <v>9.1750000000000012E-2</v>
      </c>
      <c r="X128" s="114">
        <v>9.1750000000000012E-2</v>
      </c>
      <c r="Y128" s="116" t="s">
        <v>505</v>
      </c>
      <c r="Z128" s="116"/>
    </row>
    <row r="129" spans="2:26" x14ac:dyDescent="0.45">
      <c r="B129" s="171"/>
      <c r="C129" s="171" t="s">
        <v>545</v>
      </c>
      <c r="D129" s="173" t="s">
        <v>546</v>
      </c>
      <c r="E129" s="172" t="s">
        <v>464</v>
      </c>
      <c r="F129" s="111" t="s">
        <v>273</v>
      </c>
      <c r="G129" s="112">
        <v>0</v>
      </c>
      <c r="H129" s="112">
        <v>0</v>
      </c>
      <c r="I129" s="112">
        <v>0</v>
      </c>
      <c r="J129" s="112">
        <v>0</v>
      </c>
      <c r="K129" s="270">
        <v>0</v>
      </c>
      <c r="L129" s="114">
        <v>0</v>
      </c>
      <c r="M129" s="114">
        <v>0</v>
      </c>
      <c r="N129" s="114">
        <v>0</v>
      </c>
      <c r="O129" s="114">
        <v>0</v>
      </c>
      <c r="P129" s="272">
        <f t="shared" si="1"/>
        <v>0</v>
      </c>
      <c r="Q129" s="114">
        <v>0</v>
      </c>
      <c r="R129" s="114">
        <v>0</v>
      </c>
      <c r="S129" s="114">
        <v>0</v>
      </c>
      <c r="T129" s="114">
        <v>0</v>
      </c>
      <c r="U129" s="114">
        <v>0</v>
      </c>
      <c r="V129" s="114">
        <v>0</v>
      </c>
      <c r="W129" s="114">
        <v>0</v>
      </c>
      <c r="X129" s="114">
        <v>0</v>
      </c>
      <c r="Y129" s="116" t="s">
        <v>505</v>
      </c>
      <c r="Z129" s="116"/>
    </row>
    <row r="130" spans="2:26" x14ac:dyDescent="0.45">
      <c r="B130" s="171"/>
      <c r="C130" s="171"/>
      <c r="D130" s="173" t="s">
        <v>547</v>
      </c>
      <c r="E130" s="172" t="s">
        <v>466</v>
      </c>
      <c r="F130" s="111" t="s">
        <v>273</v>
      </c>
      <c r="G130" s="112">
        <v>0</v>
      </c>
      <c r="H130" s="112">
        <v>0</v>
      </c>
      <c r="I130" s="112">
        <v>0</v>
      </c>
      <c r="J130" s="112">
        <v>0</v>
      </c>
      <c r="K130" s="270">
        <v>0</v>
      </c>
      <c r="L130" s="114">
        <v>0</v>
      </c>
      <c r="M130" s="114">
        <v>0</v>
      </c>
      <c r="N130" s="114">
        <v>0</v>
      </c>
      <c r="O130" s="114">
        <v>0</v>
      </c>
      <c r="P130" s="272">
        <f t="shared" si="1"/>
        <v>0</v>
      </c>
      <c r="Q130" s="114">
        <v>0</v>
      </c>
      <c r="R130" s="114">
        <v>0</v>
      </c>
      <c r="S130" s="114">
        <v>0</v>
      </c>
      <c r="T130" s="114">
        <v>0</v>
      </c>
      <c r="U130" s="114">
        <v>0</v>
      </c>
      <c r="V130" s="114">
        <v>0</v>
      </c>
      <c r="W130" s="114">
        <v>0</v>
      </c>
      <c r="X130" s="114">
        <v>0</v>
      </c>
      <c r="Y130" s="116" t="s">
        <v>505</v>
      </c>
      <c r="Z130" s="116"/>
    </row>
    <row r="131" spans="2:26" x14ac:dyDescent="0.45">
      <c r="B131" s="171"/>
      <c r="C131" s="171"/>
      <c r="D131" s="173" t="s">
        <v>548</v>
      </c>
      <c r="E131" s="172" t="s">
        <v>468</v>
      </c>
      <c r="F131" s="111" t="s">
        <v>273</v>
      </c>
      <c r="G131" s="112">
        <v>0</v>
      </c>
      <c r="H131" s="112">
        <v>0</v>
      </c>
      <c r="I131" s="112">
        <v>0</v>
      </c>
      <c r="J131" s="112">
        <v>0</v>
      </c>
      <c r="K131" s="270">
        <v>0</v>
      </c>
      <c r="L131" s="114">
        <v>0</v>
      </c>
      <c r="M131" s="114">
        <v>0</v>
      </c>
      <c r="N131" s="114">
        <v>0</v>
      </c>
      <c r="O131" s="114">
        <v>0</v>
      </c>
      <c r="P131" s="272">
        <f t="shared" si="1"/>
        <v>0</v>
      </c>
      <c r="Q131" s="114">
        <v>0</v>
      </c>
      <c r="R131" s="114">
        <v>0</v>
      </c>
      <c r="S131" s="114">
        <v>0</v>
      </c>
      <c r="T131" s="114">
        <v>0</v>
      </c>
      <c r="U131" s="114">
        <v>0</v>
      </c>
      <c r="V131" s="114">
        <v>0</v>
      </c>
      <c r="W131" s="114">
        <v>0</v>
      </c>
      <c r="X131" s="114">
        <v>0</v>
      </c>
      <c r="Y131" s="116" t="s">
        <v>505</v>
      </c>
      <c r="Z131" s="116"/>
    </row>
    <row r="132" spans="2:26" x14ac:dyDescent="0.45">
      <c r="B132" s="171"/>
      <c r="C132" s="171"/>
      <c r="D132" s="173" t="s">
        <v>549</v>
      </c>
      <c r="E132" s="172" t="s">
        <v>384</v>
      </c>
      <c r="F132" s="111" t="s">
        <v>273</v>
      </c>
      <c r="G132" s="112">
        <v>0</v>
      </c>
      <c r="H132" s="112">
        <v>0</v>
      </c>
      <c r="I132" s="112">
        <v>0</v>
      </c>
      <c r="J132" s="112">
        <v>0</v>
      </c>
      <c r="K132" s="270">
        <v>0</v>
      </c>
      <c r="L132" s="114">
        <v>0</v>
      </c>
      <c r="M132" s="114">
        <v>0</v>
      </c>
      <c r="N132" s="114">
        <v>0</v>
      </c>
      <c r="O132" s="114">
        <v>0</v>
      </c>
      <c r="P132" s="272">
        <f t="shared" si="1"/>
        <v>0</v>
      </c>
      <c r="Q132" s="114">
        <v>0</v>
      </c>
      <c r="R132" s="114">
        <v>0</v>
      </c>
      <c r="S132" s="114">
        <v>0</v>
      </c>
      <c r="T132" s="114">
        <v>0</v>
      </c>
      <c r="U132" s="114">
        <v>0</v>
      </c>
      <c r="V132" s="114">
        <v>0</v>
      </c>
      <c r="W132" s="114">
        <v>0</v>
      </c>
      <c r="X132" s="114">
        <v>0</v>
      </c>
      <c r="Y132" s="116" t="s">
        <v>505</v>
      </c>
      <c r="Z132" s="116"/>
    </row>
    <row r="133" spans="2:26" x14ac:dyDescent="0.45">
      <c r="B133" s="171"/>
      <c r="C133" s="171"/>
      <c r="D133" s="173" t="s">
        <v>550</v>
      </c>
      <c r="E133" s="172" t="s">
        <v>471</v>
      </c>
      <c r="F133" s="111" t="s">
        <v>273</v>
      </c>
      <c r="G133" s="112">
        <v>0</v>
      </c>
      <c r="H133" s="112">
        <v>0</v>
      </c>
      <c r="I133" s="112">
        <v>0</v>
      </c>
      <c r="J133" s="112">
        <v>0</v>
      </c>
      <c r="K133" s="270">
        <v>0</v>
      </c>
      <c r="L133" s="114">
        <v>0</v>
      </c>
      <c r="M133" s="114">
        <v>0</v>
      </c>
      <c r="N133" s="114">
        <v>0</v>
      </c>
      <c r="O133" s="114">
        <v>0</v>
      </c>
      <c r="P133" s="272">
        <f t="shared" si="1"/>
        <v>0</v>
      </c>
      <c r="Q133" s="114">
        <v>0</v>
      </c>
      <c r="R133" s="114">
        <v>0</v>
      </c>
      <c r="S133" s="114">
        <v>0</v>
      </c>
      <c r="T133" s="114">
        <v>0</v>
      </c>
      <c r="U133" s="114">
        <v>0</v>
      </c>
      <c r="V133" s="114">
        <v>0</v>
      </c>
      <c r="W133" s="114">
        <v>0</v>
      </c>
      <c r="X133" s="114">
        <v>0</v>
      </c>
      <c r="Y133" s="116" t="s">
        <v>505</v>
      </c>
      <c r="Z133" s="116"/>
    </row>
    <row r="134" spans="2:26" x14ac:dyDescent="0.45">
      <c r="B134" s="171"/>
      <c r="C134" s="171"/>
      <c r="D134" s="173" t="s">
        <v>551</v>
      </c>
      <c r="E134" s="172" t="s">
        <v>473</v>
      </c>
      <c r="F134" s="111" t="s">
        <v>273</v>
      </c>
      <c r="G134" s="112">
        <v>0</v>
      </c>
      <c r="H134" s="112">
        <v>0</v>
      </c>
      <c r="I134" s="112">
        <v>0</v>
      </c>
      <c r="J134" s="112">
        <v>0</v>
      </c>
      <c r="K134" s="270">
        <v>0</v>
      </c>
      <c r="L134" s="114">
        <v>0</v>
      </c>
      <c r="M134" s="114">
        <v>0</v>
      </c>
      <c r="N134" s="114">
        <v>0</v>
      </c>
      <c r="O134" s="114">
        <v>0</v>
      </c>
      <c r="P134" s="272">
        <f t="shared" si="1"/>
        <v>0</v>
      </c>
      <c r="Q134" s="114">
        <v>0</v>
      </c>
      <c r="R134" s="114">
        <v>0</v>
      </c>
      <c r="S134" s="114">
        <v>0</v>
      </c>
      <c r="T134" s="114">
        <v>0</v>
      </c>
      <c r="U134" s="114">
        <v>0</v>
      </c>
      <c r="V134" s="114">
        <v>0</v>
      </c>
      <c r="W134" s="114">
        <v>0</v>
      </c>
      <c r="X134" s="114">
        <v>0</v>
      </c>
      <c r="Y134" s="116" t="s">
        <v>505</v>
      </c>
      <c r="Z134" s="116"/>
    </row>
    <row r="135" spans="2:26" x14ac:dyDescent="0.45">
      <c r="B135" s="171"/>
      <c r="C135" s="171"/>
      <c r="D135" s="173" t="s">
        <v>552</v>
      </c>
      <c r="E135" s="172" t="s">
        <v>475</v>
      </c>
      <c r="F135" s="111" t="s">
        <v>184</v>
      </c>
      <c r="G135" s="112">
        <v>0</v>
      </c>
      <c r="H135" s="112">
        <v>0</v>
      </c>
      <c r="I135" s="112">
        <v>0</v>
      </c>
      <c r="J135" s="112">
        <v>0</v>
      </c>
      <c r="K135" s="270">
        <v>0</v>
      </c>
      <c r="L135" s="114">
        <v>0</v>
      </c>
      <c r="M135" s="114">
        <v>0</v>
      </c>
      <c r="N135" s="114">
        <v>0</v>
      </c>
      <c r="O135" s="114">
        <v>0</v>
      </c>
      <c r="P135" s="272">
        <f t="shared" si="1"/>
        <v>0</v>
      </c>
      <c r="Q135" s="114">
        <v>0</v>
      </c>
      <c r="R135" s="114">
        <v>0</v>
      </c>
      <c r="S135" s="114">
        <v>0</v>
      </c>
      <c r="T135" s="114">
        <v>0</v>
      </c>
      <c r="U135" s="114">
        <v>0</v>
      </c>
      <c r="V135" s="114">
        <v>0</v>
      </c>
      <c r="W135" s="114">
        <v>0</v>
      </c>
      <c r="X135" s="114">
        <v>0</v>
      </c>
      <c r="Y135" s="116" t="s">
        <v>505</v>
      </c>
      <c r="Z135" s="116"/>
    </row>
    <row r="136" spans="2:26" x14ac:dyDescent="0.45">
      <c r="B136" s="171"/>
      <c r="C136" s="171"/>
      <c r="D136" s="173" t="s">
        <v>553</v>
      </c>
      <c r="E136" s="172" t="s">
        <v>380</v>
      </c>
      <c r="F136" s="111" t="s">
        <v>273</v>
      </c>
      <c r="G136" s="112">
        <v>0</v>
      </c>
      <c r="H136" s="112">
        <v>0</v>
      </c>
      <c r="I136" s="112">
        <v>0</v>
      </c>
      <c r="J136" s="112">
        <v>0</v>
      </c>
      <c r="K136" s="270">
        <v>0</v>
      </c>
      <c r="L136" s="114">
        <v>0</v>
      </c>
      <c r="M136" s="114">
        <v>0</v>
      </c>
      <c r="N136" s="114">
        <v>0</v>
      </c>
      <c r="O136" s="114">
        <v>0</v>
      </c>
      <c r="P136" s="272">
        <f t="shared" si="1"/>
        <v>0</v>
      </c>
      <c r="Q136" s="114">
        <v>0</v>
      </c>
      <c r="R136" s="114">
        <v>0</v>
      </c>
      <c r="S136" s="114">
        <v>0</v>
      </c>
      <c r="T136" s="114">
        <v>0</v>
      </c>
      <c r="U136" s="114">
        <v>0</v>
      </c>
      <c r="V136" s="114">
        <v>0</v>
      </c>
      <c r="W136" s="114">
        <v>0</v>
      </c>
      <c r="X136" s="114">
        <v>0</v>
      </c>
      <c r="Y136" s="116" t="s">
        <v>505</v>
      </c>
      <c r="Z136" s="116"/>
    </row>
    <row r="137" spans="2:26" x14ac:dyDescent="0.45">
      <c r="B137" s="171"/>
      <c r="C137" s="171"/>
      <c r="D137" s="173" t="s">
        <v>554</v>
      </c>
      <c r="E137" s="172" t="s">
        <v>478</v>
      </c>
      <c r="F137" s="111" t="s">
        <v>184</v>
      </c>
      <c r="G137" s="112">
        <v>0</v>
      </c>
      <c r="H137" s="112">
        <v>0</v>
      </c>
      <c r="I137" s="112">
        <v>0</v>
      </c>
      <c r="J137" s="112">
        <v>0</v>
      </c>
      <c r="K137" s="270">
        <v>0</v>
      </c>
      <c r="L137" s="114">
        <v>0</v>
      </c>
      <c r="M137" s="114">
        <v>0</v>
      </c>
      <c r="N137" s="114">
        <v>0</v>
      </c>
      <c r="O137" s="114">
        <v>0</v>
      </c>
      <c r="P137" s="272">
        <f t="shared" ref="P137:P150" si="2">SUM(L137:O137)</f>
        <v>0</v>
      </c>
      <c r="Q137" s="114">
        <v>0</v>
      </c>
      <c r="R137" s="114">
        <v>0</v>
      </c>
      <c r="S137" s="114">
        <v>0</v>
      </c>
      <c r="T137" s="114">
        <v>0</v>
      </c>
      <c r="U137" s="114">
        <v>0</v>
      </c>
      <c r="V137" s="114">
        <v>0</v>
      </c>
      <c r="W137" s="114">
        <v>0</v>
      </c>
      <c r="X137" s="114">
        <v>0</v>
      </c>
      <c r="Y137" s="116" t="s">
        <v>505</v>
      </c>
      <c r="Z137" s="116"/>
    </row>
    <row r="138" spans="2:26" x14ac:dyDescent="0.45">
      <c r="B138" s="171"/>
      <c r="C138" s="171"/>
      <c r="D138" s="173" t="s">
        <v>555</v>
      </c>
      <c r="E138" s="172" t="s">
        <v>480</v>
      </c>
      <c r="F138" s="111" t="s">
        <v>184</v>
      </c>
      <c r="G138" s="112">
        <v>0</v>
      </c>
      <c r="H138" s="112">
        <v>0</v>
      </c>
      <c r="I138" s="112">
        <v>0</v>
      </c>
      <c r="J138" s="112">
        <v>0</v>
      </c>
      <c r="K138" s="270">
        <v>0</v>
      </c>
      <c r="L138" s="114">
        <v>0</v>
      </c>
      <c r="M138" s="114">
        <v>0</v>
      </c>
      <c r="N138" s="114">
        <v>0</v>
      </c>
      <c r="O138" s="114">
        <v>0</v>
      </c>
      <c r="P138" s="272">
        <f t="shared" si="2"/>
        <v>0</v>
      </c>
      <c r="Q138" s="114">
        <v>0</v>
      </c>
      <c r="R138" s="114">
        <v>0</v>
      </c>
      <c r="S138" s="114">
        <v>0</v>
      </c>
      <c r="T138" s="114">
        <v>0</v>
      </c>
      <c r="U138" s="114">
        <v>0</v>
      </c>
      <c r="V138" s="114">
        <v>0</v>
      </c>
      <c r="W138" s="114">
        <v>0</v>
      </c>
      <c r="X138" s="114">
        <v>0</v>
      </c>
      <c r="Y138" s="116" t="s">
        <v>505</v>
      </c>
      <c r="Z138" s="116"/>
    </row>
    <row r="139" spans="2:26" x14ac:dyDescent="0.45">
      <c r="B139" s="171"/>
      <c r="C139" s="171"/>
      <c r="D139" s="173" t="s">
        <v>556</v>
      </c>
      <c r="E139" s="172" t="s">
        <v>482</v>
      </c>
      <c r="F139" s="111" t="s">
        <v>273</v>
      </c>
      <c r="G139" s="112">
        <v>0</v>
      </c>
      <c r="H139" s="112">
        <v>0</v>
      </c>
      <c r="I139" s="112">
        <v>0</v>
      </c>
      <c r="J139" s="112">
        <v>0</v>
      </c>
      <c r="K139" s="270">
        <v>0</v>
      </c>
      <c r="L139" s="114">
        <v>0</v>
      </c>
      <c r="M139" s="114">
        <v>0</v>
      </c>
      <c r="N139" s="114">
        <v>0</v>
      </c>
      <c r="O139" s="114">
        <v>0</v>
      </c>
      <c r="P139" s="272">
        <f t="shared" si="2"/>
        <v>0</v>
      </c>
      <c r="Q139" s="114">
        <v>0</v>
      </c>
      <c r="R139" s="114">
        <v>0</v>
      </c>
      <c r="S139" s="114">
        <v>0</v>
      </c>
      <c r="T139" s="114">
        <v>0</v>
      </c>
      <c r="U139" s="114">
        <v>0</v>
      </c>
      <c r="V139" s="114">
        <v>0</v>
      </c>
      <c r="W139" s="114">
        <v>0</v>
      </c>
      <c r="X139" s="114">
        <v>0</v>
      </c>
      <c r="Y139" s="116" t="s">
        <v>505</v>
      </c>
      <c r="Z139" s="116"/>
    </row>
    <row r="140" spans="2:26" x14ac:dyDescent="0.45">
      <c r="B140" s="171"/>
      <c r="C140" s="171"/>
      <c r="D140" s="173" t="s">
        <v>557</v>
      </c>
      <c r="E140" s="172" t="s">
        <v>484</v>
      </c>
      <c r="F140" s="111" t="s">
        <v>184</v>
      </c>
      <c r="G140" s="112">
        <v>0</v>
      </c>
      <c r="H140" s="112">
        <v>0</v>
      </c>
      <c r="I140" s="112">
        <v>0</v>
      </c>
      <c r="J140" s="112">
        <v>0</v>
      </c>
      <c r="K140" s="270">
        <v>0</v>
      </c>
      <c r="L140" s="114">
        <v>0</v>
      </c>
      <c r="M140" s="114">
        <v>0</v>
      </c>
      <c r="N140" s="114">
        <v>0</v>
      </c>
      <c r="O140" s="114">
        <v>0</v>
      </c>
      <c r="P140" s="272">
        <f t="shared" si="2"/>
        <v>0</v>
      </c>
      <c r="Q140" s="114">
        <v>0</v>
      </c>
      <c r="R140" s="114">
        <v>0</v>
      </c>
      <c r="S140" s="114">
        <v>0</v>
      </c>
      <c r="T140" s="114">
        <v>0</v>
      </c>
      <c r="U140" s="114">
        <v>0</v>
      </c>
      <c r="V140" s="114">
        <v>0</v>
      </c>
      <c r="W140" s="114">
        <v>0</v>
      </c>
      <c r="X140" s="114">
        <v>0</v>
      </c>
      <c r="Y140" s="116" t="s">
        <v>505</v>
      </c>
      <c r="Z140" s="116"/>
    </row>
    <row r="141" spans="2:26" x14ac:dyDescent="0.45">
      <c r="B141" s="171"/>
      <c r="C141" s="171"/>
      <c r="D141" s="173" t="s">
        <v>558</v>
      </c>
      <c r="E141" s="172" t="s">
        <v>486</v>
      </c>
      <c r="F141" s="111" t="s">
        <v>273</v>
      </c>
      <c r="G141" s="112">
        <v>1</v>
      </c>
      <c r="H141" s="112">
        <v>0</v>
      </c>
      <c r="I141" s="112">
        <v>0</v>
      </c>
      <c r="J141" s="112">
        <v>0</v>
      </c>
      <c r="K141" s="270">
        <v>0</v>
      </c>
      <c r="L141" s="114">
        <v>0</v>
      </c>
      <c r="M141" s="114">
        <v>0</v>
      </c>
      <c r="N141" s="114">
        <v>0</v>
      </c>
      <c r="O141" s="114">
        <v>0</v>
      </c>
      <c r="P141" s="272">
        <f t="shared" si="2"/>
        <v>0</v>
      </c>
      <c r="Q141" s="114">
        <v>4.6850000000000003E-2</v>
      </c>
      <c r="R141" s="114">
        <v>4.6850000000000003E-2</v>
      </c>
      <c r="S141" s="114">
        <v>4.6850000000000003E-2</v>
      </c>
      <c r="T141" s="114">
        <v>4.6850000000000003E-2</v>
      </c>
      <c r="U141" s="114">
        <v>4.5875000000000006E-2</v>
      </c>
      <c r="V141" s="114">
        <v>4.5875000000000006E-2</v>
      </c>
      <c r="W141" s="114">
        <v>4.5875000000000006E-2</v>
      </c>
      <c r="X141" s="114">
        <v>4.5875000000000006E-2</v>
      </c>
      <c r="Y141" s="116" t="s">
        <v>505</v>
      </c>
      <c r="Z141" s="116"/>
    </row>
    <row r="142" spans="2:26" x14ac:dyDescent="0.45">
      <c r="B142" s="171"/>
      <c r="C142" s="171"/>
      <c r="D142" s="173" t="s">
        <v>559</v>
      </c>
      <c r="E142" s="172" t="s">
        <v>488</v>
      </c>
      <c r="F142" s="111" t="s">
        <v>273</v>
      </c>
      <c r="G142" s="112">
        <v>0</v>
      </c>
      <c r="H142" s="112">
        <v>0</v>
      </c>
      <c r="I142" s="112">
        <v>0</v>
      </c>
      <c r="J142" s="112">
        <v>0</v>
      </c>
      <c r="K142" s="270">
        <v>0</v>
      </c>
      <c r="L142" s="114">
        <v>0</v>
      </c>
      <c r="M142" s="114">
        <v>0</v>
      </c>
      <c r="N142" s="114">
        <v>0</v>
      </c>
      <c r="O142" s="114">
        <v>0</v>
      </c>
      <c r="P142" s="272">
        <f t="shared" si="2"/>
        <v>0</v>
      </c>
      <c r="Q142" s="114">
        <v>0</v>
      </c>
      <c r="R142" s="114">
        <v>0</v>
      </c>
      <c r="S142" s="114">
        <v>0</v>
      </c>
      <c r="T142" s="114">
        <v>0</v>
      </c>
      <c r="U142" s="114">
        <v>0</v>
      </c>
      <c r="V142" s="114">
        <v>0</v>
      </c>
      <c r="W142" s="114">
        <v>0</v>
      </c>
      <c r="X142" s="114">
        <v>0</v>
      </c>
      <c r="Y142" s="116" t="s">
        <v>505</v>
      </c>
      <c r="Z142" s="116"/>
    </row>
    <row r="143" spans="2:26" x14ac:dyDescent="0.45">
      <c r="B143" s="171"/>
      <c r="C143" s="171"/>
      <c r="D143" s="173" t="s">
        <v>560</v>
      </c>
      <c r="E143" s="172" t="s">
        <v>390</v>
      </c>
      <c r="F143" s="111" t="s">
        <v>273</v>
      </c>
      <c r="G143" s="112">
        <v>0</v>
      </c>
      <c r="H143" s="112">
        <v>0</v>
      </c>
      <c r="I143" s="112">
        <v>0</v>
      </c>
      <c r="J143" s="112">
        <v>0</v>
      </c>
      <c r="K143" s="270">
        <v>0</v>
      </c>
      <c r="L143" s="114">
        <v>1</v>
      </c>
      <c r="M143" s="114">
        <v>0</v>
      </c>
      <c r="N143" s="114">
        <v>0</v>
      </c>
      <c r="O143" s="114">
        <v>0</v>
      </c>
      <c r="P143" s="272">
        <f t="shared" si="2"/>
        <v>1</v>
      </c>
      <c r="Q143" s="114">
        <v>0</v>
      </c>
      <c r="R143" s="114">
        <v>0</v>
      </c>
      <c r="S143" s="114">
        <v>0</v>
      </c>
      <c r="T143" s="114">
        <v>0</v>
      </c>
      <c r="U143" s="114">
        <v>0</v>
      </c>
      <c r="V143" s="114">
        <v>0</v>
      </c>
      <c r="W143" s="114">
        <v>0</v>
      </c>
      <c r="X143" s="114">
        <v>0</v>
      </c>
      <c r="Y143" s="116" t="s">
        <v>505</v>
      </c>
      <c r="Z143" s="116"/>
    </row>
    <row r="144" spans="2:26" x14ac:dyDescent="0.45">
      <c r="B144" s="171"/>
      <c r="C144" s="171" t="s">
        <v>561</v>
      </c>
      <c r="D144" s="173" t="s">
        <v>562</v>
      </c>
      <c r="E144" s="172" t="s">
        <v>393</v>
      </c>
      <c r="F144" s="111" t="s">
        <v>273</v>
      </c>
      <c r="G144" s="112">
        <v>0</v>
      </c>
      <c r="H144" s="112">
        <v>0</v>
      </c>
      <c r="I144" s="112">
        <v>0</v>
      </c>
      <c r="J144" s="112">
        <v>0</v>
      </c>
      <c r="K144" s="270">
        <v>0</v>
      </c>
      <c r="L144" s="114">
        <v>0</v>
      </c>
      <c r="M144" s="114">
        <v>0</v>
      </c>
      <c r="N144" s="114">
        <v>0</v>
      </c>
      <c r="O144" s="114">
        <v>0</v>
      </c>
      <c r="P144" s="272">
        <f t="shared" si="2"/>
        <v>0</v>
      </c>
      <c r="Q144" s="114">
        <v>0</v>
      </c>
      <c r="R144" s="114">
        <v>0</v>
      </c>
      <c r="S144" s="114">
        <v>0</v>
      </c>
      <c r="T144" s="114">
        <v>0</v>
      </c>
      <c r="U144" s="114">
        <v>0</v>
      </c>
      <c r="V144" s="114">
        <v>0</v>
      </c>
      <c r="W144" s="114">
        <v>0</v>
      </c>
      <c r="X144" s="114">
        <v>0</v>
      </c>
      <c r="Y144" s="116" t="s">
        <v>505</v>
      </c>
      <c r="Z144" s="116"/>
    </row>
    <row r="145" spans="1:26" x14ac:dyDescent="0.45">
      <c r="B145" s="171"/>
      <c r="C145" s="171" t="s">
        <v>563</v>
      </c>
      <c r="D145" s="173" t="s">
        <v>564</v>
      </c>
      <c r="E145" s="172" t="s">
        <v>396</v>
      </c>
      <c r="F145" s="111" t="s">
        <v>184</v>
      </c>
      <c r="G145" s="112">
        <v>0</v>
      </c>
      <c r="H145" s="112">
        <v>0</v>
      </c>
      <c r="I145" s="112">
        <v>0</v>
      </c>
      <c r="J145" s="112">
        <v>0</v>
      </c>
      <c r="K145" s="270">
        <v>0</v>
      </c>
      <c r="L145" s="114">
        <v>0</v>
      </c>
      <c r="M145" s="114">
        <v>0</v>
      </c>
      <c r="N145" s="114">
        <v>0</v>
      </c>
      <c r="O145" s="114">
        <v>0</v>
      </c>
      <c r="P145" s="272">
        <f t="shared" si="2"/>
        <v>0</v>
      </c>
      <c r="Q145" s="114">
        <v>0</v>
      </c>
      <c r="R145" s="114">
        <v>0</v>
      </c>
      <c r="S145" s="114">
        <v>0</v>
      </c>
      <c r="T145" s="114">
        <v>0</v>
      </c>
      <c r="U145" s="114">
        <v>0</v>
      </c>
      <c r="V145" s="114">
        <v>0</v>
      </c>
      <c r="W145" s="114">
        <v>0</v>
      </c>
      <c r="X145" s="114">
        <v>0</v>
      </c>
      <c r="Y145" s="116" t="s">
        <v>505</v>
      </c>
      <c r="Z145" s="116"/>
    </row>
    <row r="146" spans="1:26" x14ac:dyDescent="0.45">
      <c r="B146" s="171"/>
      <c r="C146" s="171" t="s">
        <v>565</v>
      </c>
      <c r="D146" s="173" t="s">
        <v>566</v>
      </c>
      <c r="E146" s="172" t="s">
        <v>356</v>
      </c>
      <c r="F146" s="111" t="s">
        <v>184</v>
      </c>
      <c r="G146" s="112">
        <v>0</v>
      </c>
      <c r="H146" s="112">
        <v>0</v>
      </c>
      <c r="I146" s="112">
        <v>0</v>
      </c>
      <c r="J146" s="112">
        <v>0</v>
      </c>
      <c r="K146" s="270">
        <v>0</v>
      </c>
      <c r="L146" s="114">
        <v>0</v>
      </c>
      <c r="M146" s="114">
        <v>0</v>
      </c>
      <c r="N146" s="114">
        <v>0</v>
      </c>
      <c r="O146" s="114">
        <v>0</v>
      </c>
      <c r="P146" s="272">
        <f t="shared" si="2"/>
        <v>0</v>
      </c>
      <c r="Q146" s="114">
        <v>0</v>
      </c>
      <c r="R146" s="114">
        <v>0</v>
      </c>
      <c r="S146" s="114">
        <v>0</v>
      </c>
      <c r="T146" s="114">
        <v>0</v>
      </c>
      <c r="U146" s="114">
        <v>0</v>
      </c>
      <c r="V146" s="114">
        <v>0</v>
      </c>
      <c r="W146" s="114">
        <v>0</v>
      </c>
      <c r="X146" s="114">
        <v>0</v>
      </c>
      <c r="Y146" s="116" t="s">
        <v>505</v>
      </c>
      <c r="Z146" s="116"/>
    </row>
    <row r="147" spans="1:26" x14ac:dyDescent="0.45">
      <c r="B147" s="171"/>
      <c r="C147" s="171" t="s">
        <v>567</v>
      </c>
      <c r="D147" s="173" t="s">
        <v>568</v>
      </c>
      <c r="E147" s="172" t="s">
        <v>401</v>
      </c>
      <c r="F147" s="111" t="s">
        <v>273</v>
      </c>
      <c r="G147" s="112">
        <v>0</v>
      </c>
      <c r="H147" s="112">
        <v>0</v>
      </c>
      <c r="I147" s="112">
        <v>0</v>
      </c>
      <c r="J147" s="112">
        <v>0</v>
      </c>
      <c r="K147" s="270">
        <v>0</v>
      </c>
      <c r="L147" s="114">
        <v>0</v>
      </c>
      <c r="M147" s="114">
        <v>0</v>
      </c>
      <c r="N147" s="114">
        <v>0</v>
      </c>
      <c r="O147" s="114">
        <v>0</v>
      </c>
      <c r="P147" s="272">
        <f t="shared" si="2"/>
        <v>0</v>
      </c>
      <c r="Q147" s="114">
        <v>0</v>
      </c>
      <c r="R147" s="114">
        <v>0</v>
      </c>
      <c r="S147" s="114">
        <v>0</v>
      </c>
      <c r="T147" s="114">
        <v>0</v>
      </c>
      <c r="U147" s="114">
        <v>0</v>
      </c>
      <c r="V147" s="114">
        <v>0</v>
      </c>
      <c r="W147" s="114">
        <v>0</v>
      </c>
      <c r="X147" s="114">
        <v>0</v>
      </c>
      <c r="Y147" s="116" t="s">
        <v>505</v>
      </c>
      <c r="Z147" s="116"/>
    </row>
    <row r="148" spans="1:26" x14ac:dyDescent="0.45">
      <c r="B148" s="171"/>
      <c r="C148" s="171" t="s">
        <v>569</v>
      </c>
      <c r="D148" s="173" t="s">
        <v>570</v>
      </c>
      <c r="E148" s="172" t="s">
        <v>404</v>
      </c>
      <c r="F148" s="111" t="s">
        <v>184</v>
      </c>
      <c r="G148" s="112">
        <v>0</v>
      </c>
      <c r="H148" s="112">
        <v>0</v>
      </c>
      <c r="I148" s="112">
        <v>0</v>
      </c>
      <c r="J148" s="112">
        <v>0</v>
      </c>
      <c r="K148" s="270">
        <v>0</v>
      </c>
      <c r="L148" s="114">
        <v>0</v>
      </c>
      <c r="M148" s="114">
        <v>0</v>
      </c>
      <c r="N148" s="114">
        <v>0</v>
      </c>
      <c r="O148" s="114">
        <v>0</v>
      </c>
      <c r="P148" s="272">
        <f t="shared" si="2"/>
        <v>0</v>
      </c>
      <c r="Q148" s="114">
        <v>0</v>
      </c>
      <c r="R148" s="114">
        <v>0</v>
      </c>
      <c r="S148" s="114">
        <v>0</v>
      </c>
      <c r="T148" s="114">
        <v>0</v>
      </c>
      <c r="U148" s="114">
        <v>0</v>
      </c>
      <c r="V148" s="114">
        <v>0</v>
      </c>
      <c r="W148" s="114">
        <v>0</v>
      </c>
      <c r="X148" s="114">
        <v>0</v>
      </c>
      <c r="Y148" s="116" t="s">
        <v>505</v>
      </c>
      <c r="Z148" s="116"/>
    </row>
    <row r="149" spans="1:26" x14ac:dyDescent="0.45">
      <c r="B149" s="171"/>
      <c r="C149" s="171" t="s">
        <v>571</v>
      </c>
      <c r="D149" s="173" t="s">
        <v>572</v>
      </c>
      <c r="E149" s="172" t="s">
        <v>407</v>
      </c>
      <c r="F149" s="111" t="s">
        <v>273</v>
      </c>
      <c r="G149" s="112">
        <v>0</v>
      </c>
      <c r="H149" s="112">
        <v>1</v>
      </c>
      <c r="I149" s="112">
        <v>0</v>
      </c>
      <c r="J149" s="112">
        <v>0</v>
      </c>
      <c r="K149" s="270">
        <v>1</v>
      </c>
      <c r="L149" s="114">
        <v>0</v>
      </c>
      <c r="M149" s="114">
        <v>1</v>
      </c>
      <c r="N149" s="114">
        <v>0</v>
      </c>
      <c r="O149" s="114">
        <v>0</v>
      </c>
      <c r="P149" s="272">
        <f t="shared" si="2"/>
        <v>1</v>
      </c>
      <c r="Q149" s="114">
        <v>9.6850000000000006E-2</v>
      </c>
      <c r="R149" s="114">
        <v>9.6850000000000006E-2</v>
      </c>
      <c r="S149" s="114">
        <v>9.6850000000000006E-2</v>
      </c>
      <c r="T149" s="114">
        <v>9.6850000000000006E-2</v>
      </c>
      <c r="U149" s="114">
        <v>9.5875000000000016E-2</v>
      </c>
      <c r="V149" s="114">
        <v>9.5875000000000016E-2</v>
      </c>
      <c r="W149" s="114">
        <v>9.5875000000000016E-2</v>
      </c>
      <c r="X149" s="114">
        <v>9.5875000000000016E-2</v>
      </c>
      <c r="Y149" s="116" t="s">
        <v>505</v>
      </c>
      <c r="Z149" s="116"/>
    </row>
    <row r="150" spans="1:26" ht="31.9" customHeight="1" x14ac:dyDescent="0.45">
      <c r="A150" s="197" t="s">
        <v>333</v>
      </c>
      <c r="B150" s="171" t="s">
        <v>573</v>
      </c>
      <c r="C150" s="171" t="s">
        <v>574</v>
      </c>
      <c r="D150" s="173" t="s">
        <v>575</v>
      </c>
      <c r="E150" s="172" t="s">
        <v>576</v>
      </c>
      <c r="F150" s="111" t="s">
        <v>273</v>
      </c>
      <c r="G150" s="112">
        <v>3</v>
      </c>
      <c r="H150" s="112">
        <v>0</v>
      </c>
      <c r="I150" s="112">
        <v>1</v>
      </c>
      <c r="J150" s="112">
        <v>0</v>
      </c>
      <c r="K150" s="270">
        <v>4</v>
      </c>
      <c r="L150" s="114">
        <v>0</v>
      </c>
      <c r="M150" s="114">
        <v>0</v>
      </c>
      <c r="N150" s="114">
        <v>3</v>
      </c>
      <c r="O150" s="114">
        <v>0</v>
      </c>
      <c r="P150" s="272">
        <f t="shared" si="2"/>
        <v>3</v>
      </c>
      <c r="Q150" s="114">
        <v>0.4</v>
      </c>
      <c r="R150" s="114">
        <v>0.4</v>
      </c>
      <c r="S150" s="114">
        <v>0.4</v>
      </c>
      <c r="T150" s="114">
        <v>0.4</v>
      </c>
      <c r="U150" s="114">
        <v>0.4</v>
      </c>
      <c r="V150" s="114">
        <v>0.4</v>
      </c>
      <c r="W150" s="114">
        <v>0.4</v>
      </c>
      <c r="X150" s="114">
        <v>0.4</v>
      </c>
      <c r="Y150" s="116" t="s">
        <v>505</v>
      </c>
      <c r="Z150" s="116" t="s">
        <v>577</v>
      </c>
    </row>
    <row r="151" spans="1:26" x14ac:dyDescent="0.45">
      <c r="B151" s="8" t="s">
        <v>1108</v>
      </c>
      <c r="E151" s="8" t="s">
        <v>1108</v>
      </c>
      <c r="G151" s="8">
        <f>SUM(G8:G150)</f>
        <v>1148</v>
      </c>
      <c r="H151" s="8">
        <f t="shared" ref="H151:P151" si="3">SUM(H8:H150)</f>
        <v>1415</v>
      </c>
      <c r="I151" s="8">
        <f t="shared" si="3"/>
        <v>1275</v>
      </c>
      <c r="J151" s="8">
        <f t="shared" si="3"/>
        <v>1177</v>
      </c>
      <c r="K151" s="8">
        <f t="shared" si="3"/>
        <v>1233</v>
      </c>
      <c r="L151" s="8">
        <f t="shared" si="3"/>
        <v>266</v>
      </c>
      <c r="M151" s="8">
        <f t="shared" si="3"/>
        <v>277</v>
      </c>
      <c r="N151" s="8">
        <f t="shared" si="3"/>
        <v>372</v>
      </c>
      <c r="O151" s="8">
        <f t="shared" si="3"/>
        <v>264</v>
      </c>
      <c r="P151" s="8">
        <f t="shared" si="3"/>
        <v>1179</v>
      </c>
    </row>
  </sheetData>
  <dataValidations count="1">
    <dataValidation type="custom" operator="greaterThanOrEqual" allowBlank="1" showInputMessage="1" showErrorMessage="1" error="This cell only accepts a number of &quot;NA&quot;_x000a_" sqref="G8:K149 Q8:X149 L98:O149 L8:O71 P8:P150" xr:uid="{4D8E3FD7-7ED5-4056-99B1-992C5D9A026D}">
      <formula1>OR(AND(ISNUMBER(G8), G8&gt;=0), G8 ="NA")</formula1>
    </dataValidation>
  </dataValidations>
  <pageMargins left="0.7" right="0.7" top="0.75" bottom="0.75" header="0.3" footer="0.3"/>
  <pageSetup paperSize="5" scale="10" fitToHeight="0" orientation="landscape" r:id="rId1"/>
  <headerFooter>
    <oddFooter>&amp;LSDGE 2021 WMP - &amp;A&amp;C&amp;P&amp;R&amp;D</oddFooter>
  </headerFooter>
  <customProperties>
    <customPr name="_pios_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BCF950A4-BEA2-4177-A44D-BED487989BFD}">
          <x14:formula1>
            <xm:f>'Quarterly Submission Guide'!$C$1:$D$1</xm:f>
          </x14:formula1>
          <xm:sqref>F8:F149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28EA3-C1F5-4D28-889E-FABD177A5A12}">
  <sheetPr codeName="Sheet9">
    <pageSetUpPr fitToPage="1"/>
  </sheetPr>
  <dimension ref="A1:AT61"/>
  <sheetViews>
    <sheetView view="pageLayout" topLeftCell="A4" zoomScale="85" zoomScaleNormal="55" zoomScalePageLayoutView="85" workbookViewId="0">
      <selection activeCell="AR6" sqref="AR6"/>
    </sheetView>
  </sheetViews>
  <sheetFormatPr defaultColWidth="9.265625" defaultRowHeight="14.25" outlineLevelCol="1" x14ac:dyDescent="0.45"/>
  <cols>
    <col min="1" max="1" width="5.59765625" style="8" customWidth="1"/>
    <col min="2" max="2" width="34.265625" style="8" customWidth="1"/>
    <col min="3" max="3" width="37.265625" style="1" customWidth="1"/>
    <col min="4" max="4" width="12.59765625" style="8" customWidth="1"/>
    <col min="5" max="5" width="68.265625" style="8" customWidth="1"/>
    <col min="6" max="6" width="13.73046875" style="8" customWidth="1"/>
    <col min="7" max="7" width="9.3984375" style="8" customWidth="1"/>
    <col min="8" max="8" width="11.265625" style="8" hidden="1" customWidth="1"/>
    <col min="9" max="10" width="10.3984375" style="8" bestFit="1" customWidth="1"/>
    <col min="11" max="11" width="10.3984375" style="8" customWidth="1"/>
    <col min="12" max="12" width="9.3984375" style="8" customWidth="1"/>
    <col min="13" max="13" width="11.265625" style="8" hidden="1" customWidth="1"/>
    <col min="14" max="15" width="10.3984375" style="8" bestFit="1" customWidth="1"/>
    <col min="16" max="16" width="10.3984375" style="8" customWidth="1"/>
    <col min="17" max="17" width="9.3984375" style="8" customWidth="1"/>
    <col min="18" max="18" width="11.265625" style="8" hidden="1" customWidth="1"/>
    <col min="19" max="20" width="10.3984375" style="8" bestFit="1" customWidth="1"/>
    <col min="21" max="21" width="10.3984375" style="8" customWidth="1"/>
    <col min="22" max="22" width="9.3984375" style="8" customWidth="1"/>
    <col min="23" max="23" width="11.265625" style="8" hidden="1" customWidth="1"/>
    <col min="24" max="25" width="10.3984375" style="8" bestFit="1" customWidth="1"/>
    <col min="26" max="26" width="10.3984375" style="8" customWidth="1"/>
    <col min="27" max="27" width="9.3984375" style="8" bestFit="1" customWidth="1"/>
    <col min="28" max="28" width="11.265625" style="8" hidden="1" customWidth="1"/>
    <col min="29" max="30" width="10.3984375" style="8" bestFit="1" customWidth="1"/>
    <col min="31" max="31" width="10.3984375" style="8" customWidth="1"/>
    <col min="32" max="32" width="9.3984375" style="8" customWidth="1"/>
    <col min="33" max="33" width="11.265625" style="8" hidden="1" customWidth="1"/>
    <col min="34" max="36" width="10.3984375" style="8" customWidth="1"/>
    <col min="37" max="37" width="9.3984375" style="8" customWidth="1" outlineLevel="1"/>
    <col min="38" max="38" width="11.265625" style="8" customWidth="1" outlineLevel="1"/>
    <col min="39" max="40" width="10.3984375" style="8" customWidth="1" outlineLevel="1"/>
    <col min="41" max="41" width="9.3984375" style="8" customWidth="1" outlineLevel="1"/>
    <col min="42" max="42" width="11.265625" style="8" customWidth="1" outlineLevel="1"/>
    <col min="43" max="44" width="10.3984375" style="8" customWidth="1" outlineLevel="1"/>
    <col min="45" max="45" width="13.3984375" style="1" customWidth="1"/>
    <col min="46" max="46" width="52.265625" style="8" customWidth="1"/>
    <col min="47" max="16384" width="9.265625" style="8"/>
  </cols>
  <sheetData>
    <row r="1" spans="1:46" ht="14.65" thickBot="1" x14ac:dyDescent="0.5"/>
    <row r="2" spans="1:46" x14ac:dyDescent="0.45">
      <c r="B2" s="14" t="s">
        <v>0</v>
      </c>
      <c r="C2" s="19" t="str">
        <f>IF('Quarterly Submission Guide'!$D$20 = "", "",'Quarterly Submission Guide'!$D$20)</f>
        <v>SDG&amp;E</v>
      </c>
      <c r="D2" s="58" t="s">
        <v>1</v>
      </c>
    </row>
    <row r="3" spans="1:46" x14ac:dyDescent="0.45">
      <c r="B3" s="15" t="s">
        <v>2</v>
      </c>
      <c r="C3" s="13">
        <v>7.2</v>
      </c>
      <c r="D3" s="59" t="s">
        <v>3</v>
      </c>
    </row>
    <row r="4" spans="1:46" ht="14.65" thickBot="1" x14ac:dyDescent="0.5">
      <c r="B4" s="16" t="s">
        <v>4</v>
      </c>
      <c r="C4" s="30">
        <v>44232</v>
      </c>
      <c r="D4" s="57" t="s">
        <v>578</v>
      </c>
    </row>
    <row r="5" spans="1:46" x14ac:dyDescent="0.45">
      <c r="G5" s="42" t="s">
        <v>579</v>
      </c>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3" t="s">
        <v>580</v>
      </c>
      <c r="AL5" s="43"/>
      <c r="AM5" s="43"/>
      <c r="AN5" s="43"/>
      <c r="AO5" s="43"/>
      <c r="AP5" s="43"/>
      <c r="AQ5" s="43"/>
      <c r="AR5" s="43"/>
    </row>
    <row r="6" spans="1:46" s="1" customFormat="1" ht="33" customHeight="1" x14ac:dyDescent="0.45">
      <c r="B6" s="199" t="s">
        <v>581</v>
      </c>
      <c r="D6" s="200"/>
      <c r="E6" s="200"/>
      <c r="F6" s="200"/>
      <c r="G6" s="200" t="s">
        <v>582</v>
      </c>
      <c r="H6" s="200" t="s">
        <v>583</v>
      </c>
      <c r="I6" s="200" t="s">
        <v>584</v>
      </c>
      <c r="J6" s="200" t="s">
        <v>585</v>
      </c>
      <c r="K6" s="200" t="s">
        <v>1109</v>
      </c>
      <c r="L6" s="200" t="s">
        <v>582</v>
      </c>
      <c r="M6" s="200" t="s">
        <v>583</v>
      </c>
      <c r="N6" s="200" t="s">
        <v>584</v>
      </c>
      <c r="O6" s="200" t="s">
        <v>585</v>
      </c>
      <c r="P6" s="200" t="s">
        <v>1109</v>
      </c>
      <c r="Q6" s="200" t="s">
        <v>582</v>
      </c>
      <c r="R6" s="200" t="s">
        <v>583</v>
      </c>
      <c r="S6" s="200" t="s">
        <v>584</v>
      </c>
      <c r="T6" s="200" t="s">
        <v>585</v>
      </c>
      <c r="U6" s="200" t="s">
        <v>1109</v>
      </c>
      <c r="V6" s="200" t="s">
        <v>582</v>
      </c>
      <c r="W6" s="200" t="s">
        <v>583</v>
      </c>
      <c r="X6" s="200" t="s">
        <v>584</v>
      </c>
      <c r="Y6" s="200" t="s">
        <v>585</v>
      </c>
      <c r="Z6" s="200" t="s">
        <v>1109</v>
      </c>
      <c r="AA6" s="200" t="s">
        <v>582</v>
      </c>
      <c r="AB6" s="200" t="s">
        <v>583</v>
      </c>
      <c r="AC6" s="200" t="s">
        <v>584</v>
      </c>
      <c r="AD6" s="200" t="s">
        <v>585</v>
      </c>
      <c r="AE6" s="200" t="s">
        <v>1109</v>
      </c>
      <c r="AF6" s="200" t="s">
        <v>582</v>
      </c>
      <c r="AG6" s="200" t="s">
        <v>583</v>
      </c>
      <c r="AH6" s="200" t="s">
        <v>584</v>
      </c>
      <c r="AI6" s="200" t="s">
        <v>585</v>
      </c>
      <c r="AJ6" s="200" t="s">
        <v>1109</v>
      </c>
      <c r="AK6" s="200" t="s">
        <v>582</v>
      </c>
      <c r="AL6" s="200" t="s">
        <v>583</v>
      </c>
      <c r="AM6" s="200" t="s">
        <v>584</v>
      </c>
      <c r="AN6" s="200" t="s">
        <v>585</v>
      </c>
      <c r="AO6" s="200" t="s">
        <v>582</v>
      </c>
      <c r="AP6" s="200" t="s">
        <v>583</v>
      </c>
      <c r="AQ6" s="200" t="s">
        <v>584</v>
      </c>
      <c r="AR6" s="200" t="s">
        <v>585</v>
      </c>
      <c r="AS6" s="7"/>
      <c r="AT6" s="200"/>
    </row>
    <row r="7" spans="1:46" s="195" customFormat="1" ht="57" x14ac:dyDescent="0.45">
      <c r="B7" s="196"/>
      <c r="C7" s="196" t="s">
        <v>7</v>
      </c>
      <c r="D7" s="196" t="s">
        <v>8</v>
      </c>
      <c r="E7" s="196" t="s">
        <v>586</v>
      </c>
      <c r="F7" s="196" t="s">
        <v>587</v>
      </c>
      <c r="G7" s="196">
        <v>2015</v>
      </c>
      <c r="H7" s="201">
        <v>2015</v>
      </c>
      <c r="I7" s="196">
        <v>2015</v>
      </c>
      <c r="J7" s="196">
        <v>2015</v>
      </c>
      <c r="K7" s="196">
        <v>2015</v>
      </c>
      <c r="L7" s="196">
        <v>2016</v>
      </c>
      <c r="M7" s="201">
        <v>2016</v>
      </c>
      <c r="N7" s="196">
        <v>2016</v>
      </c>
      <c r="O7" s="196">
        <v>2016</v>
      </c>
      <c r="P7" s="196">
        <v>2016</v>
      </c>
      <c r="Q7" s="196">
        <v>2017</v>
      </c>
      <c r="R7" s="201">
        <v>2017</v>
      </c>
      <c r="S7" s="196">
        <v>2017</v>
      </c>
      <c r="T7" s="196">
        <v>2017</v>
      </c>
      <c r="U7" s="196">
        <v>2017</v>
      </c>
      <c r="V7" s="196">
        <v>2018</v>
      </c>
      <c r="W7" s="201">
        <v>2018</v>
      </c>
      <c r="X7" s="196">
        <v>2018</v>
      </c>
      <c r="Y7" s="196">
        <v>2018</v>
      </c>
      <c r="Z7" s="196">
        <v>2018</v>
      </c>
      <c r="AA7" s="196">
        <v>2019</v>
      </c>
      <c r="AB7" s="201">
        <v>2019</v>
      </c>
      <c r="AC7" s="196">
        <v>2019</v>
      </c>
      <c r="AD7" s="196">
        <v>2019</v>
      </c>
      <c r="AE7" s="196">
        <v>2019</v>
      </c>
      <c r="AF7" s="196">
        <v>2020</v>
      </c>
      <c r="AG7" s="201">
        <v>2020</v>
      </c>
      <c r="AH7" s="196">
        <v>2020</v>
      </c>
      <c r="AI7" s="196">
        <v>2020</v>
      </c>
      <c r="AJ7" s="196">
        <v>2020</v>
      </c>
      <c r="AK7" s="196">
        <v>2021</v>
      </c>
      <c r="AL7" s="201">
        <v>2021</v>
      </c>
      <c r="AM7" s="196">
        <v>2021</v>
      </c>
      <c r="AN7" s="196">
        <v>2021</v>
      </c>
      <c r="AO7" s="196">
        <v>2022</v>
      </c>
      <c r="AP7" s="201">
        <v>2022</v>
      </c>
      <c r="AQ7" s="196">
        <v>2022</v>
      </c>
      <c r="AR7" s="196">
        <v>2022</v>
      </c>
      <c r="AS7" s="196" t="s">
        <v>10</v>
      </c>
      <c r="AT7" s="196" t="s">
        <v>11</v>
      </c>
    </row>
    <row r="8" spans="1:46" x14ac:dyDescent="0.45">
      <c r="A8" s="8" t="s">
        <v>333</v>
      </c>
      <c r="B8" s="8" t="s">
        <v>502</v>
      </c>
      <c r="C8" s="38" t="s">
        <v>335</v>
      </c>
      <c r="D8" s="38" t="s">
        <v>13</v>
      </c>
      <c r="E8" s="12" t="s">
        <v>336</v>
      </c>
      <c r="F8" s="111" t="s">
        <v>273</v>
      </c>
      <c r="G8" s="110">
        <v>0</v>
      </c>
      <c r="H8" s="157"/>
      <c r="I8" s="110">
        <v>2</v>
      </c>
      <c r="J8" s="110">
        <v>3</v>
      </c>
      <c r="K8" s="110">
        <f>I8+J8</f>
        <v>5</v>
      </c>
      <c r="L8" s="110">
        <v>2</v>
      </c>
      <c r="M8" s="157"/>
      <c r="N8" s="110">
        <v>2</v>
      </c>
      <c r="O8" s="110">
        <v>0</v>
      </c>
      <c r="P8" s="110">
        <f>N8+O8</f>
        <v>2</v>
      </c>
      <c r="Q8" s="110">
        <v>1</v>
      </c>
      <c r="R8" s="157"/>
      <c r="S8" s="110">
        <v>0</v>
      </c>
      <c r="T8" s="110">
        <v>2</v>
      </c>
      <c r="U8" s="110">
        <f>S8+T8</f>
        <v>2</v>
      </c>
      <c r="V8" s="110">
        <v>3</v>
      </c>
      <c r="W8" s="157"/>
      <c r="X8" s="110">
        <v>0</v>
      </c>
      <c r="Y8" s="110">
        <v>0</v>
      </c>
      <c r="Z8" s="110">
        <f>X8+Y8</f>
        <v>0</v>
      </c>
      <c r="AA8" s="110">
        <v>0</v>
      </c>
      <c r="AB8" s="157"/>
      <c r="AC8" s="110">
        <v>1</v>
      </c>
      <c r="AD8" s="110">
        <v>0</v>
      </c>
      <c r="AE8" s="110">
        <f>AC8+AD8</f>
        <v>1</v>
      </c>
      <c r="AF8" s="113">
        <v>0</v>
      </c>
      <c r="AG8" s="158"/>
      <c r="AH8" s="113">
        <v>0</v>
      </c>
      <c r="AI8" s="113">
        <v>0</v>
      </c>
      <c r="AJ8" s="110">
        <f>AH8+AI8</f>
        <v>0</v>
      </c>
      <c r="AK8" s="113">
        <v>1.1995499999999999</v>
      </c>
      <c r="AL8" s="158"/>
      <c r="AM8" s="113">
        <v>0.76090000000000002</v>
      </c>
      <c r="AN8" s="113">
        <v>0.9627</v>
      </c>
      <c r="AO8" s="113">
        <v>1.1990499999999999</v>
      </c>
      <c r="AP8" s="158"/>
      <c r="AQ8" s="113">
        <v>0.72310000000000008</v>
      </c>
      <c r="AR8" s="113">
        <v>0.90959999999999996</v>
      </c>
      <c r="AS8" s="12" t="s">
        <v>505</v>
      </c>
      <c r="AT8" s="12"/>
    </row>
    <row r="9" spans="1:46" x14ac:dyDescent="0.45">
      <c r="B9" s="38"/>
      <c r="C9" s="38"/>
      <c r="D9" s="10" t="s">
        <v>16</v>
      </c>
      <c r="E9" s="12" t="s">
        <v>338</v>
      </c>
      <c r="F9" s="111" t="s">
        <v>273</v>
      </c>
      <c r="G9" s="112">
        <v>0</v>
      </c>
      <c r="H9" s="157"/>
      <c r="I9" s="112">
        <v>0</v>
      </c>
      <c r="J9" s="112">
        <v>0</v>
      </c>
      <c r="K9" s="110">
        <f t="shared" ref="K9:K60" si="0">I9+J9</f>
        <v>0</v>
      </c>
      <c r="L9" s="112">
        <v>1</v>
      </c>
      <c r="M9" s="157"/>
      <c r="N9" s="112">
        <v>1</v>
      </c>
      <c r="O9" s="112">
        <v>0</v>
      </c>
      <c r="P9" s="110">
        <f t="shared" ref="P9:P60" si="1">N9+O9</f>
        <v>1</v>
      </c>
      <c r="Q9" s="112">
        <v>1</v>
      </c>
      <c r="R9" s="157"/>
      <c r="S9" s="112">
        <v>0</v>
      </c>
      <c r="T9" s="112">
        <v>0</v>
      </c>
      <c r="U9" s="110">
        <f t="shared" ref="U9:U60" si="2">S9+T9</f>
        <v>0</v>
      </c>
      <c r="V9" s="112">
        <v>0</v>
      </c>
      <c r="W9" s="157"/>
      <c r="X9" s="112">
        <v>0</v>
      </c>
      <c r="Y9" s="112">
        <v>1</v>
      </c>
      <c r="Z9" s="110">
        <f t="shared" ref="Z9:Z60" si="3">X9+Y9</f>
        <v>1</v>
      </c>
      <c r="AA9" s="112">
        <v>0</v>
      </c>
      <c r="AB9" s="157"/>
      <c r="AC9" s="112">
        <v>1</v>
      </c>
      <c r="AD9" s="112">
        <v>0</v>
      </c>
      <c r="AE9" s="110">
        <f t="shared" ref="AE9:AE60" si="4">AC9+AD9</f>
        <v>1</v>
      </c>
      <c r="AF9" s="114">
        <v>0</v>
      </c>
      <c r="AG9" s="158"/>
      <c r="AH9" s="114">
        <v>0</v>
      </c>
      <c r="AI9" s="114">
        <v>2</v>
      </c>
      <c r="AJ9" s="110">
        <f t="shared" ref="AJ9:AJ60" si="5">AH9+AI9</f>
        <v>2</v>
      </c>
      <c r="AK9" s="114">
        <v>0.39980000000000004</v>
      </c>
      <c r="AL9" s="158"/>
      <c r="AM9" s="114">
        <v>0.39280000000000004</v>
      </c>
      <c r="AN9" s="114">
        <v>0.19600000000000001</v>
      </c>
      <c r="AO9" s="114">
        <v>0.39960000000000007</v>
      </c>
      <c r="AP9" s="158"/>
      <c r="AQ9" s="114">
        <v>0.38610000000000005</v>
      </c>
      <c r="AR9" s="114">
        <v>0.18870000000000001</v>
      </c>
      <c r="AS9" s="12" t="s">
        <v>505</v>
      </c>
      <c r="AT9" s="12"/>
    </row>
    <row r="10" spans="1:46" x14ac:dyDescent="0.45">
      <c r="B10" s="38"/>
      <c r="C10" s="38"/>
      <c r="D10" s="10" t="s">
        <v>18</v>
      </c>
      <c r="E10" s="12" t="s">
        <v>339</v>
      </c>
      <c r="F10" s="111" t="s">
        <v>273</v>
      </c>
      <c r="G10" s="112">
        <v>2</v>
      </c>
      <c r="H10" s="157"/>
      <c r="I10" s="112">
        <v>0</v>
      </c>
      <c r="J10" s="112">
        <v>0</v>
      </c>
      <c r="K10" s="110">
        <f t="shared" si="0"/>
        <v>0</v>
      </c>
      <c r="L10" s="112">
        <v>3</v>
      </c>
      <c r="M10" s="157"/>
      <c r="N10" s="112">
        <v>0</v>
      </c>
      <c r="O10" s="112">
        <v>0</v>
      </c>
      <c r="P10" s="110">
        <f t="shared" si="1"/>
        <v>0</v>
      </c>
      <c r="Q10" s="112">
        <v>3</v>
      </c>
      <c r="R10" s="157"/>
      <c r="S10" s="112">
        <v>1</v>
      </c>
      <c r="T10" s="112">
        <v>1</v>
      </c>
      <c r="U10" s="110">
        <f t="shared" si="2"/>
        <v>2</v>
      </c>
      <c r="V10" s="112">
        <v>3</v>
      </c>
      <c r="W10" s="157"/>
      <c r="X10" s="112">
        <v>2</v>
      </c>
      <c r="Y10" s="112">
        <v>3</v>
      </c>
      <c r="Z10" s="110">
        <f t="shared" si="3"/>
        <v>5</v>
      </c>
      <c r="AA10" s="112">
        <v>0</v>
      </c>
      <c r="AB10" s="157"/>
      <c r="AC10" s="112">
        <v>0</v>
      </c>
      <c r="AD10" s="112">
        <v>0</v>
      </c>
      <c r="AE10" s="110">
        <f t="shared" si="4"/>
        <v>0</v>
      </c>
      <c r="AF10" s="114">
        <v>1</v>
      </c>
      <c r="AG10" s="158"/>
      <c r="AH10" s="114">
        <v>1</v>
      </c>
      <c r="AI10" s="114">
        <v>0</v>
      </c>
      <c r="AJ10" s="110">
        <f t="shared" si="5"/>
        <v>1</v>
      </c>
      <c r="AK10" s="114">
        <v>2.2000000000000002</v>
      </c>
      <c r="AL10" s="158"/>
      <c r="AM10" s="114">
        <v>0.59819999999999995</v>
      </c>
      <c r="AN10" s="114">
        <v>0.79380000000000006</v>
      </c>
      <c r="AO10" s="114">
        <v>2.2000000000000002</v>
      </c>
      <c r="AP10" s="158"/>
      <c r="AQ10" s="114">
        <v>0.5948</v>
      </c>
      <c r="AR10" s="114">
        <v>0.77860000000000007</v>
      </c>
      <c r="AS10" s="12" t="s">
        <v>505</v>
      </c>
      <c r="AT10" s="12"/>
    </row>
    <row r="11" spans="1:46" x14ac:dyDescent="0.45">
      <c r="B11" s="38"/>
      <c r="C11" s="38"/>
      <c r="D11" s="10" t="s">
        <v>20</v>
      </c>
      <c r="E11" s="12" t="s">
        <v>340</v>
      </c>
      <c r="F11" s="111" t="s">
        <v>273</v>
      </c>
      <c r="G11" s="112">
        <v>2</v>
      </c>
      <c r="H11" s="157"/>
      <c r="I11" s="112">
        <v>3</v>
      </c>
      <c r="J11" s="112">
        <v>1</v>
      </c>
      <c r="K11" s="110">
        <f t="shared" si="0"/>
        <v>4</v>
      </c>
      <c r="L11" s="112">
        <v>2</v>
      </c>
      <c r="M11" s="157"/>
      <c r="N11" s="112">
        <v>1</v>
      </c>
      <c r="O11" s="112">
        <v>1</v>
      </c>
      <c r="P11" s="110">
        <f t="shared" si="1"/>
        <v>2</v>
      </c>
      <c r="Q11" s="112">
        <v>1</v>
      </c>
      <c r="R11" s="157"/>
      <c r="S11" s="112">
        <v>2</v>
      </c>
      <c r="T11" s="112">
        <v>1</v>
      </c>
      <c r="U11" s="110">
        <f t="shared" si="2"/>
        <v>3</v>
      </c>
      <c r="V11" s="112">
        <v>0</v>
      </c>
      <c r="W11" s="157"/>
      <c r="X11" s="112">
        <v>1</v>
      </c>
      <c r="Y11" s="112">
        <v>0</v>
      </c>
      <c r="Z11" s="110">
        <f t="shared" si="3"/>
        <v>1</v>
      </c>
      <c r="AA11" s="112">
        <v>1</v>
      </c>
      <c r="AB11" s="157"/>
      <c r="AC11" s="112">
        <v>2</v>
      </c>
      <c r="AD11" s="112">
        <v>0</v>
      </c>
      <c r="AE11" s="110">
        <f t="shared" si="4"/>
        <v>2</v>
      </c>
      <c r="AF11" s="114">
        <v>0</v>
      </c>
      <c r="AG11" s="158"/>
      <c r="AH11" s="114">
        <v>2</v>
      </c>
      <c r="AI11" s="114">
        <v>1</v>
      </c>
      <c r="AJ11" s="110">
        <f t="shared" si="5"/>
        <v>3</v>
      </c>
      <c r="AK11" s="114">
        <v>1.2</v>
      </c>
      <c r="AL11" s="158"/>
      <c r="AM11" s="114">
        <v>1.7951000000000001</v>
      </c>
      <c r="AN11" s="114">
        <v>0.5958</v>
      </c>
      <c r="AO11" s="114">
        <v>1.2</v>
      </c>
      <c r="AP11" s="158"/>
      <c r="AQ11" s="114">
        <v>1.786</v>
      </c>
      <c r="AR11" s="114">
        <v>0.58950000000000002</v>
      </c>
      <c r="AS11" s="12" t="s">
        <v>505</v>
      </c>
      <c r="AT11" s="12"/>
    </row>
    <row r="12" spans="1:46" x14ac:dyDescent="0.45">
      <c r="B12" s="38"/>
      <c r="C12" s="38"/>
      <c r="D12" s="10" t="s">
        <v>23</v>
      </c>
      <c r="E12" s="12" t="s">
        <v>341</v>
      </c>
      <c r="F12" s="111" t="s">
        <v>273</v>
      </c>
      <c r="G12" s="112">
        <v>2</v>
      </c>
      <c r="H12" s="157"/>
      <c r="I12" s="112">
        <v>1</v>
      </c>
      <c r="J12" s="112">
        <v>0</v>
      </c>
      <c r="K12" s="110">
        <f t="shared" si="0"/>
        <v>1</v>
      </c>
      <c r="L12" s="112">
        <v>1</v>
      </c>
      <c r="M12" s="157"/>
      <c r="N12" s="112">
        <v>1</v>
      </c>
      <c r="O12" s="112">
        <v>0</v>
      </c>
      <c r="P12" s="110">
        <f t="shared" si="1"/>
        <v>1</v>
      </c>
      <c r="Q12" s="112">
        <v>0</v>
      </c>
      <c r="R12" s="157"/>
      <c r="S12" s="112">
        <v>1</v>
      </c>
      <c r="T12" s="112">
        <v>1</v>
      </c>
      <c r="U12" s="110">
        <f t="shared" si="2"/>
        <v>2</v>
      </c>
      <c r="V12" s="112">
        <v>1</v>
      </c>
      <c r="W12" s="157"/>
      <c r="X12" s="112">
        <v>0</v>
      </c>
      <c r="Y12" s="112">
        <v>0</v>
      </c>
      <c r="Z12" s="110">
        <f t="shared" si="3"/>
        <v>0</v>
      </c>
      <c r="AA12" s="112">
        <v>0</v>
      </c>
      <c r="AB12" s="157"/>
      <c r="AC12" s="112">
        <v>0</v>
      </c>
      <c r="AD12" s="112">
        <v>0</v>
      </c>
      <c r="AE12" s="110">
        <f t="shared" si="4"/>
        <v>0</v>
      </c>
      <c r="AF12" s="114">
        <v>0</v>
      </c>
      <c r="AG12" s="158"/>
      <c r="AH12" s="114">
        <v>0</v>
      </c>
      <c r="AI12" s="114">
        <v>0</v>
      </c>
      <c r="AJ12" s="110">
        <f t="shared" si="5"/>
        <v>0</v>
      </c>
      <c r="AK12" s="114">
        <v>0.8</v>
      </c>
      <c r="AL12" s="158"/>
      <c r="AM12" s="114">
        <v>0.79760000000000009</v>
      </c>
      <c r="AN12" s="114">
        <v>0.19850000000000001</v>
      </c>
      <c r="AO12" s="114">
        <v>0.8</v>
      </c>
      <c r="AP12" s="158"/>
      <c r="AQ12" s="114">
        <v>0.79310000000000014</v>
      </c>
      <c r="AR12" s="114">
        <v>0.19470000000000001</v>
      </c>
      <c r="AS12" s="12" t="s">
        <v>505</v>
      </c>
      <c r="AT12" s="12"/>
    </row>
    <row r="13" spans="1:46" x14ac:dyDescent="0.45">
      <c r="B13" s="38"/>
      <c r="C13" s="38" t="s">
        <v>342</v>
      </c>
      <c r="D13" s="10" t="s">
        <v>114</v>
      </c>
      <c r="E13" s="12" t="s">
        <v>417</v>
      </c>
      <c r="F13" s="111" t="s">
        <v>273</v>
      </c>
      <c r="G13" s="112">
        <v>0</v>
      </c>
      <c r="H13" s="157"/>
      <c r="I13" s="112">
        <v>0</v>
      </c>
      <c r="J13" s="112">
        <v>0</v>
      </c>
      <c r="K13" s="110">
        <f t="shared" si="0"/>
        <v>0</v>
      </c>
      <c r="L13" s="112">
        <v>0</v>
      </c>
      <c r="M13" s="157"/>
      <c r="N13" s="112">
        <v>1</v>
      </c>
      <c r="O13" s="112">
        <v>0</v>
      </c>
      <c r="P13" s="110">
        <f t="shared" si="1"/>
        <v>1</v>
      </c>
      <c r="Q13" s="112">
        <v>0</v>
      </c>
      <c r="R13" s="157"/>
      <c r="S13" s="112">
        <v>0</v>
      </c>
      <c r="T13" s="112">
        <v>0</v>
      </c>
      <c r="U13" s="110">
        <f t="shared" si="2"/>
        <v>0</v>
      </c>
      <c r="V13" s="112">
        <v>0</v>
      </c>
      <c r="W13" s="157"/>
      <c r="X13" s="112">
        <v>0</v>
      </c>
      <c r="Y13" s="112">
        <v>0</v>
      </c>
      <c r="Z13" s="110">
        <f t="shared" si="3"/>
        <v>0</v>
      </c>
      <c r="AA13" s="112">
        <v>0</v>
      </c>
      <c r="AB13" s="157"/>
      <c r="AC13" s="112">
        <v>0</v>
      </c>
      <c r="AD13" s="112">
        <v>0</v>
      </c>
      <c r="AE13" s="110">
        <f t="shared" si="4"/>
        <v>0</v>
      </c>
      <c r="AF13" s="114">
        <v>0</v>
      </c>
      <c r="AG13" s="158"/>
      <c r="AH13" s="114">
        <v>0</v>
      </c>
      <c r="AI13" s="114">
        <v>1</v>
      </c>
      <c r="AJ13" s="110">
        <f t="shared" si="5"/>
        <v>1</v>
      </c>
      <c r="AK13" s="114">
        <v>0</v>
      </c>
      <c r="AL13" s="158"/>
      <c r="AM13" s="114">
        <v>0.15300000000000002</v>
      </c>
      <c r="AN13" s="114">
        <v>0</v>
      </c>
      <c r="AO13" s="114">
        <v>0</v>
      </c>
      <c r="AP13" s="158"/>
      <c r="AQ13" s="114">
        <v>0.10300000000000002</v>
      </c>
      <c r="AR13" s="114">
        <v>0</v>
      </c>
      <c r="AS13" s="12" t="s">
        <v>505</v>
      </c>
      <c r="AT13" s="12"/>
    </row>
    <row r="14" spans="1:46" x14ac:dyDescent="0.45">
      <c r="B14" s="38"/>
      <c r="C14" s="38"/>
      <c r="D14" s="10" t="s">
        <v>116</v>
      </c>
      <c r="E14" s="12" t="s">
        <v>419</v>
      </c>
      <c r="F14" s="111" t="s">
        <v>273</v>
      </c>
      <c r="G14" s="112">
        <v>1</v>
      </c>
      <c r="H14" s="157"/>
      <c r="I14" s="112">
        <v>1</v>
      </c>
      <c r="J14" s="112">
        <v>0</v>
      </c>
      <c r="K14" s="110">
        <f t="shared" si="0"/>
        <v>1</v>
      </c>
      <c r="L14" s="112">
        <v>1</v>
      </c>
      <c r="M14" s="157"/>
      <c r="N14" s="112">
        <v>1</v>
      </c>
      <c r="O14" s="112">
        <v>1</v>
      </c>
      <c r="P14" s="110">
        <f t="shared" si="1"/>
        <v>2</v>
      </c>
      <c r="Q14" s="112">
        <v>0</v>
      </c>
      <c r="R14" s="157"/>
      <c r="S14" s="112">
        <v>0</v>
      </c>
      <c r="T14" s="112">
        <v>1</v>
      </c>
      <c r="U14" s="110">
        <f t="shared" si="2"/>
        <v>1</v>
      </c>
      <c r="V14" s="112">
        <v>0</v>
      </c>
      <c r="W14" s="157"/>
      <c r="X14" s="112">
        <v>0</v>
      </c>
      <c r="Y14" s="112">
        <v>0</v>
      </c>
      <c r="Z14" s="110">
        <f t="shared" si="3"/>
        <v>0</v>
      </c>
      <c r="AA14" s="112">
        <v>0</v>
      </c>
      <c r="AB14" s="157"/>
      <c r="AC14" s="112">
        <v>0</v>
      </c>
      <c r="AD14" s="112">
        <v>0</v>
      </c>
      <c r="AE14" s="110">
        <f t="shared" si="4"/>
        <v>0</v>
      </c>
      <c r="AF14" s="114">
        <v>0</v>
      </c>
      <c r="AG14" s="158"/>
      <c r="AH14" s="114">
        <v>0</v>
      </c>
      <c r="AI14" s="114">
        <v>0</v>
      </c>
      <c r="AJ14" s="110">
        <f t="shared" si="5"/>
        <v>0</v>
      </c>
      <c r="AK14" s="114">
        <v>0.39800000000000002</v>
      </c>
      <c r="AL14" s="158"/>
      <c r="AM14" s="114">
        <v>0.39280000000000004</v>
      </c>
      <c r="AN14" s="114">
        <v>0.34320000000000001</v>
      </c>
      <c r="AO14" s="114">
        <v>0.39780000000000004</v>
      </c>
      <c r="AP14" s="158"/>
      <c r="AQ14" s="114">
        <v>0.38610000000000005</v>
      </c>
      <c r="AR14" s="114">
        <v>0.32869999999999999</v>
      </c>
      <c r="AS14" s="12" t="s">
        <v>505</v>
      </c>
      <c r="AT14" s="12"/>
    </row>
    <row r="15" spans="1:46" x14ac:dyDescent="0.45">
      <c r="B15" s="38"/>
      <c r="C15" s="38"/>
      <c r="D15" s="10" t="s">
        <v>118</v>
      </c>
      <c r="E15" s="12" t="s">
        <v>421</v>
      </c>
      <c r="F15" s="111" t="s">
        <v>273</v>
      </c>
      <c r="G15" s="112">
        <v>0</v>
      </c>
      <c r="H15" s="157"/>
      <c r="I15" s="112">
        <v>0</v>
      </c>
      <c r="J15" s="112">
        <v>0</v>
      </c>
      <c r="K15" s="110">
        <f t="shared" si="0"/>
        <v>0</v>
      </c>
      <c r="L15" s="112">
        <v>0</v>
      </c>
      <c r="M15" s="157"/>
      <c r="N15" s="112">
        <v>0</v>
      </c>
      <c r="O15" s="112">
        <v>0</v>
      </c>
      <c r="P15" s="110">
        <f t="shared" si="1"/>
        <v>0</v>
      </c>
      <c r="Q15" s="112">
        <v>1</v>
      </c>
      <c r="R15" s="157"/>
      <c r="S15" s="112">
        <v>0</v>
      </c>
      <c r="T15" s="112">
        <v>0</v>
      </c>
      <c r="U15" s="110">
        <f t="shared" si="2"/>
        <v>0</v>
      </c>
      <c r="V15" s="112">
        <v>0</v>
      </c>
      <c r="W15" s="157"/>
      <c r="X15" s="112">
        <v>0</v>
      </c>
      <c r="Y15" s="112">
        <v>0</v>
      </c>
      <c r="Z15" s="110">
        <f t="shared" si="3"/>
        <v>0</v>
      </c>
      <c r="AA15" s="112">
        <v>0</v>
      </c>
      <c r="AB15" s="157"/>
      <c r="AC15" s="112">
        <v>0</v>
      </c>
      <c r="AD15" s="112">
        <v>1</v>
      </c>
      <c r="AE15" s="110">
        <f t="shared" si="4"/>
        <v>1</v>
      </c>
      <c r="AF15" s="114">
        <v>1</v>
      </c>
      <c r="AG15" s="158"/>
      <c r="AH15" s="114">
        <v>0</v>
      </c>
      <c r="AI15" s="114">
        <v>0</v>
      </c>
      <c r="AJ15" s="110">
        <f t="shared" si="5"/>
        <v>0</v>
      </c>
      <c r="AK15" s="114">
        <v>0.2</v>
      </c>
      <c r="AL15" s="158"/>
      <c r="AM15" s="114">
        <v>0</v>
      </c>
      <c r="AN15" s="114">
        <v>6.6000000000000003E-2</v>
      </c>
      <c r="AO15" s="114">
        <v>0.2</v>
      </c>
      <c r="AP15" s="158"/>
      <c r="AQ15" s="114">
        <v>0</v>
      </c>
      <c r="AR15" s="114">
        <v>0</v>
      </c>
      <c r="AS15" s="12" t="s">
        <v>505</v>
      </c>
      <c r="AT15" s="12"/>
    </row>
    <row r="16" spans="1:46" x14ac:dyDescent="0.45">
      <c r="B16" s="38"/>
      <c r="C16" s="38"/>
      <c r="D16" s="10" t="s">
        <v>120</v>
      </c>
      <c r="E16" s="12" t="s">
        <v>347</v>
      </c>
      <c r="F16" s="111" t="s">
        <v>273</v>
      </c>
      <c r="G16" s="112">
        <v>0</v>
      </c>
      <c r="H16" s="157"/>
      <c r="I16" s="112">
        <v>0</v>
      </c>
      <c r="J16" s="112">
        <v>0</v>
      </c>
      <c r="K16" s="110">
        <f t="shared" si="0"/>
        <v>0</v>
      </c>
      <c r="L16" s="112">
        <v>0</v>
      </c>
      <c r="M16" s="157"/>
      <c r="N16" s="112">
        <v>1</v>
      </c>
      <c r="O16" s="112">
        <v>1</v>
      </c>
      <c r="P16" s="110">
        <f t="shared" si="1"/>
        <v>2</v>
      </c>
      <c r="Q16" s="112">
        <v>0</v>
      </c>
      <c r="R16" s="157"/>
      <c r="S16" s="112">
        <v>0</v>
      </c>
      <c r="T16" s="112">
        <v>1</v>
      </c>
      <c r="U16" s="110">
        <f t="shared" si="2"/>
        <v>1</v>
      </c>
      <c r="V16" s="112">
        <v>0</v>
      </c>
      <c r="W16" s="157"/>
      <c r="X16" s="112">
        <v>0</v>
      </c>
      <c r="Y16" s="112">
        <v>0</v>
      </c>
      <c r="Z16" s="110">
        <f t="shared" si="3"/>
        <v>0</v>
      </c>
      <c r="AA16" s="112">
        <v>0</v>
      </c>
      <c r="AB16" s="157"/>
      <c r="AC16" s="112">
        <v>0</v>
      </c>
      <c r="AD16" s="112">
        <v>0</v>
      </c>
      <c r="AE16" s="110">
        <f t="shared" si="4"/>
        <v>0</v>
      </c>
      <c r="AF16" s="114">
        <v>0</v>
      </c>
      <c r="AG16" s="158"/>
      <c r="AH16" s="114">
        <v>2</v>
      </c>
      <c r="AI16" s="114">
        <v>3</v>
      </c>
      <c r="AJ16" s="110">
        <f t="shared" si="5"/>
        <v>5</v>
      </c>
      <c r="AK16" s="114">
        <v>0</v>
      </c>
      <c r="AL16" s="158"/>
      <c r="AM16" s="114">
        <v>0.2</v>
      </c>
      <c r="AN16" s="114">
        <v>0.4</v>
      </c>
      <c r="AO16" s="114">
        <v>0</v>
      </c>
      <c r="AP16" s="158"/>
      <c r="AQ16" s="114">
        <v>0.2</v>
      </c>
      <c r="AR16" s="114">
        <v>0.39</v>
      </c>
      <c r="AS16" s="12" t="s">
        <v>505</v>
      </c>
      <c r="AT16" s="12"/>
    </row>
    <row r="17" spans="2:46" x14ac:dyDescent="0.45">
      <c r="B17" s="38"/>
      <c r="C17" s="38"/>
      <c r="D17" s="10" t="s">
        <v>194</v>
      </c>
      <c r="E17" s="12" t="s">
        <v>424</v>
      </c>
      <c r="F17" s="111" t="s">
        <v>273</v>
      </c>
      <c r="G17" s="112">
        <v>0</v>
      </c>
      <c r="H17" s="157"/>
      <c r="I17" s="112">
        <v>0</v>
      </c>
      <c r="J17" s="112">
        <v>1</v>
      </c>
      <c r="K17" s="110">
        <f t="shared" si="0"/>
        <v>1</v>
      </c>
      <c r="L17" s="112">
        <v>0</v>
      </c>
      <c r="M17" s="157"/>
      <c r="N17" s="112">
        <v>0</v>
      </c>
      <c r="O17" s="112">
        <v>0</v>
      </c>
      <c r="P17" s="110">
        <f t="shared" si="1"/>
        <v>0</v>
      </c>
      <c r="Q17" s="112">
        <v>0</v>
      </c>
      <c r="R17" s="157"/>
      <c r="S17" s="112">
        <v>0</v>
      </c>
      <c r="T17" s="112">
        <v>0</v>
      </c>
      <c r="U17" s="110">
        <f t="shared" si="2"/>
        <v>0</v>
      </c>
      <c r="V17" s="112">
        <v>0</v>
      </c>
      <c r="W17" s="157"/>
      <c r="X17" s="112">
        <v>1</v>
      </c>
      <c r="Y17" s="112">
        <v>0</v>
      </c>
      <c r="Z17" s="110">
        <f t="shared" si="3"/>
        <v>1</v>
      </c>
      <c r="AA17" s="112">
        <v>0</v>
      </c>
      <c r="AB17" s="157"/>
      <c r="AC17" s="112">
        <v>1</v>
      </c>
      <c r="AD17" s="112">
        <v>0</v>
      </c>
      <c r="AE17" s="110">
        <f t="shared" si="4"/>
        <v>1</v>
      </c>
      <c r="AF17" s="114">
        <v>1</v>
      </c>
      <c r="AG17" s="158"/>
      <c r="AH17" s="114">
        <v>0</v>
      </c>
      <c r="AI17" s="114">
        <v>0</v>
      </c>
      <c r="AJ17" s="110">
        <f t="shared" si="5"/>
        <v>0</v>
      </c>
      <c r="AK17" s="114">
        <v>0</v>
      </c>
      <c r="AL17" s="158"/>
      <c r="AM17" s="114">
        <v>0.39280000000000004</v>
      </c>
      <c r="AN17" s="114">
        <v>0.17170000000000002</v>
      </c>
      <c r="AO17" s="114">
        <v>0</v>
      </c>
      <c r="AP17" s="158"/>
      <c r="AQ17" s="114">
        <v>0.38610000000000005</v>
      </c>
      <c r="AR17" s="114">
        <v>0.16440000000000002</v>
      </c>
      <c r="AS17" s="12" t="s">
        <v>505</v>
      </c>
      <c r="AT17" s="12"/>
    </row>
    <row r="18" spans="2:46" x14ac:dyDescent="0.45">
      <c r="B18" s="38"/>
      <c r="C18" s="38"/>
      <c r="D18" s="10" t="s">
        <v>196</v>
      </c>
      <c r="E18" s="12" t="s">
        <v>426</v>
      </c>
      <c r="F18" s="111" t="s">
        <v>273</v>
      </c>
      <c r="G18" s="112">
        <v>0</v>
      </c>
      <c r="H18" s="157"/>
      <c r="I18" s="112">
        <v>0</v>
      </c>
      <c r="J18" s="112">
        <v>0</v>
      </c>
      <c r="K18" s="110">
        <f t="shared" si="0"/>
        <v>0</v>
      </c>
      <c r="L18" s="112">
        <v>0</v>
      </c>
      <c r="M18" s="157"/>
      <c r="N18" s="112">
        <v>0</v>
      </c>
      <c r="O18" s="112">
        <v>0</v>
      </c>
      <c r="P18" s="110">
        <f t="shared" si="1"/>
        <v>0</v>
      </c>
      <c r="Q18" s="112">
        <v>0</v>
      </c>
      <c r="R18" s="157"/>
      <c r="S18" s="112">
        <v>0</v>
      </c>
      <c r="T18" s="112">
        <v>0</v>
      </c>
      <c r="U18" s="110">
        <f t="shared" si="2"/>
        <v>0</v>
      </c>
      <c r="V18" s="112">
        <v>0</v>
      </c>
      <c r="W18" s="157"/>
      <c r="X18" s="112">
        <v>0</v>
      </c>
      <c r="Y18" s="112">
        <v>0</v>
      </c>
      <c r="Z18" s="110">
        <f t="shared" si="3"/>
        <v>0</v>
      </c>
      <c r="AA18" s="112">
        <v>0</v>
      </c>
      <c r="AB18" s="157"/>
      <c r="AC18" s="112">
        <v>0</v>
      </c>
      <c r="AD18" s="112">
        <v>0</v>
      </c>
      <c r="AE18" s="110">
        <f t="shared" si="4"/>
        <v>0</v>
      </c>
      <c r="AF18" s="114">
        <v>0</v>
      </c>
      <c r="AG18" s="158"/>
      <c r="AH18" s="114">
        <v>1</v>
      </c>
      <c r="AI18" s="114">
        <v>0</v>
      </c>
      <c r="AJ18" s="110">
        <f t="shared" si="5"/>
        <v>1</v>
      </c>
      <c r="AK18" s="114">
        <v>0</v>
      </c>
      <c r="AL18" s="158"/>
      <c r="AM18" s="114">
        <v>0</v>
      </c>
      <c r="AN18" s="114">
        <v>0</v>
      </c>
      <c r="AO18" s="114">
        <v>0</v>
      </c>
      <c r="AP18" s="158"/>
      <c r="AQ18" s="114">
        <v>0</v>
      </c>
      <c r="AR18" s="114">
        <v>0</v>
      </c>
      <c r="AS18" s="12" t="s">
        <v>505</v>
      </c>
      <c r="AT18" s="12"/>
    </row>
    <row r="19" spans="2:46" x14ac:dyDescent="0.45">
      <c r="B19" s="38"/>
      <c r="C19" s="38"/>
      <c r="D19" s="10" t="s">
        <v>198</v>
      </c>
      <c r="E19" s="12" t="s">
        <v>428</v>
      </c>
      <c r="F19" s="111" t="s">
        <v>184</v>
      </c>
      <c r="G19" s="112">
        <v>0</v>
      </c>
      <c r="H19" s="157"/>
      <c r="I19" s="112">
        <v>0</v>
      </c>
      <c r="J19" s="112">
        <v>0</v>
      </c>
      <c r="K19" s="110">
        <f t="shared" si="0"/>
        <v>0</v>
      </c>
      <c r="L19" s="112">
        <v>0</v>
      </c>
      <c r="M19" s="157"/>
      <c r="N19" s="112">
        <v>0</v>
      </c>
      <c r="O19" s="112">
        <v>0</v>
      </c>
      <c r="P19" s="110">
        <f t="shared" si="1"/>
        <v>0</v>
      </c>
      <c r="Q19" s="112">
        <v>0</v>
      </c>
      <c r="R19" s="157"/>
      <c r="S19" s="112">
        <v>0</v>
      </c>
      <c r="T19" s="112">
        <v>0</v>
      </c>
      <c r="U19" s="110">
        <f t="shared" si="2"/>
        <v>0</v>
      </c>
      <c r="V19" s="112">
        <v>0</v>
      </c>
      <c r="W19" s="157"/>
      <c r="X19" s="112">
        <v>0</v>
      </c>
      <c r="Y19" s="112">
        <v>0</v>
      </c>
      <c r="Z19" s="110">
        <f t="shared" si="3"/>
        <v>0</v>
      </c>
      <c r="AA19" s="112">
        <v>0</v>
      </c>
      <c r="AB19" s="157"/>
      <c r="AC19" s="112">
        <v>0</v>
      </c>
      <c r="AD19" s="112">
        <v>0</v>
      </c>
      <c r="AE19" s="110">
        <f t="shared" si="4"/>
        <v>0</v>
      </c>
      <c r="AF19" s="114">
        <v>0</v>
      </c>
      <c r="AG19" s="158"/>
      <c r="AH19" s="114">
        <v>0</v>
      </c>
      <c r="AI19" s="114">
        <v>0</v>
      </c>
      <c r="AJ19" s="110">
        <f t="shared" si="5"/>
        <v>0</v>
      </c>
      <c r="AK19" s="114">
        <v>0</v>
      </c>
      <c r="AL19" s="158"/>
      <c r="AM19" s="114">
        <v>0</v>
      </c>
      <c r="AN19" s="114">
        <v>0</v>
      </c>
      <c r="AO19" s="114">
        <v>0</v>
      </c>
      <c r="AP19" s="158"/>
      <c r="AQ19" s="114">
        <v>0</v>
      </c>
      <c r="AR19" s="114">
        <v>0</v>
      </c>
      <c r="AS19" s="12" t="s">
        <v>505</v>
      </c>
      <c r="AT19" s="12"/>
    </row>
    <row r="20" spans="2:46" x14ac:dyDescent="0.45">
      <c r="B20" s="38"/>
      <c r="C20" s="38"/>
      <c r="D20" s="10" t="s">
        <v>200</v>
      </c>
      <c r="E20" s="12" t="s">
        <v>345</v>
      </c>
      <c r="F20" s="111" t="s">
        <v>273</v>
      </c>
      <c r="G20" s="112">
        <v>0</v>
      </c>
      <c r="H20" s="157"/>
      <c r="I20" s="112">
        <v>0</v>
      </c>
      <c r="J20" s="112">
        <v>0</v>
      </c>
      <c r="K20" s="110">
        <f t="shared" si="0"/>
        <v>0</v>
      </c>
      <c r="L20" s="112">
        <v>0</v>
      </c>
      <c r="M20" s="157"/>
      <c r="N20" s="112">
        <v>0</v>
      </c>
      <c r="O20" s="112">
        <v>0</v>
      </c>
      <c r="P20" s="110">
        <f t="shared" si="1"/>
        <v>0</v>
      </c>
      <c r="Q20" s="112">
        <v>0</v>
      </c>
      <c r="R20" s="157"/>
      <c r="S20" s="112">
        <v>0</v>
      </c>
      <c r="T20" s="112">
        <v>0</v>
      </c>
      <c r="U20" s="110">
        <f t="shared" si="2"/>
        <v>0</v>
      </c>
      <c r="V20" s="112">
        <v>0</v>
      </c>
      <c r="W20" s="157"/>
      <c r="X20" s="112">
        <v>0</v>
      </c>
      <c r="Y20" s="112">
        <v>0</v>
      </c>
      <c r="Z20" s="110">
        <f t="shared" si="3"/>
        <v>0</v>
      </c>
      <c r="AA20" s="112">
        <v>1</v>
      </c>
      <c r="AB20" s="157"/>
      <c r="AC20" s="112">
        <v>0</v>
      </c>
      <c r="AD20" s="112">
        <v>0</v>
      </c>
      <c r="AE20" s="110">
        <f t="shared" si="4"/>
        <v>0</v>
      </c>
      <c r="AF20" s="114">
        <v>0</v>
      </c>
      <c r="AG20" s="158"/>
      <c r="AH20" s="114">
        <v>0</v>
      </c>
      <c r="AI20" s="114">
        <v>0</v>
      </c>
      <c r="AJ20" s="110">
        <f t="shared" si="5"/>
        <v>0</v>
      </c>
      <c r="AK20" s="114">
        <v>0.19990000000000002</v>
      </c>
      <c r="AL20" s="158"/>
      <c r="AM20" s="114">
        <v>0</v>
      </c>
      <c r="AN20" s="114">
        <v>0</v>
      </c>
      <c r="AO20" s="114">
        <v>0.19980000000000003</v>
      </c>
      <c r="AP20" s="158"/>
      <c r="AQ20" s="114">
        <v>0</v>
      </c>
      <c r="AR20" s="114">
        <v>0</v>
      </c>
      <c r="AS20" s="12" t="s">
        <v>505</v>
      </c>
      <c r="AT20" s="12"/>
    </row>
    <row r="21" spans="2:46" x14ac:dyDescent="0.45">
      <c r="B21" s="38"/>
      <c r="C21" s="38"/>
      <c r="D21" s="10" t="s">
        <v>588</v>
      </c>
      <c r="E21" s="12" t="s">
        <v>431</v>
      </c>
      <c r="F21" s="111" t="s">
        <v>184</v>
      </c>
      <c r="G21" s="112">
        <v>0</v>
      </c>
      <c r="H21" s="157"/>
      <c r="I21" s="112">
        <v>0</v>
      </c>
      <c r="J21" s="112">
        <v>0</v>
      </c>
      <c r="K21" s="110">
        <f t="shared" si="0"/>
        <v>0</v>
      </c>
      <c r="L21" s="112">
        <v>0</v>
      </c>
      <c r="M21" s="157"/>
      <c r="N21" s="112">
        <v>0</v>
      </c>
      <c r="O21" s="112">
        <v>0</v>
      </c>
      <c r="P21" s="110">
        <f t="shared" si="1"/>
        <v>0</v>
      </c>
      <c r="Q21" s="112">
        <v>0</v>
      </c>
      <c r="R21" s="157"/>
      <c r="S21" s="112">
        <v>0</v>
      </c>
      <c r="T21" s="112">
        <v>0</v>
      </c>
      <c r="U21" s="110">
        <f t="shared" si="2"/>
        <v>0</v>
      </c>
      <c r="V21" s="112">
        <v>0</v>
      </c>
      <c r="W21" s="157"/>
      <c r="X21" s="112">
        <v>0</v>
      </c>
      <c r="Y21" s="112">
        <v>0</v>
      </c>
      <c r="Z21" s="110">
        <f t="shared" si="3"/>
        <v>0</v>
      </c>
      <c r="AA21" s="112">
        <v>0</v>
      </c>
      <c r="AB21" s="157"/>
      <c r="AC21" s="112">
        <v>0</v>
      </c>
      <c r="AD21" s="112">
        <v>0</v>
      </c>
      <c r="AE21" s="110">
        <f t="shared" si="4"/>
        <v>0</v>
      </c>
      <c r="AF21" s="114">
        <v>0</v>
      </c>
      <c r="AG21" s="158"/>
      <c r="AH21" s="114">
        <v>0</v>
      </c>
      <c r="AI21" s="114">
        <v>0</v>
      </c>
      <c r="AJ21" s="110">
        <f t="shared" si="5"/>
        <v>0</v>
      </c>
      <c r="AK21" s="114">
        <v>0</v>
      </c>
      <c r="AL21" s="158"/>
      <c r="AM21" s="114">
        <v>0</v>
      </c>
      <c r="AN21" s="114">
        <v>0</v>
      </c>
      <c r="AO21" s="114">
        <v>0</v>
      </c>
      <c r="AP21" s="158"/>
      <c r="AQ21" s="114">
        <v>0</v>
      </c>
      <c r="AR21" s="114">
        <v>0</v>
      </c>
      <c r="AS21" s="12" t="s">
        <v>505</v>
      </c>
      <c r="AT21" s="12"/>
    </row>
    <row r="22" spans="2:46" x14ac:dyDescent="0.45">
      <c r="B22" s="38"/>
      <c r="C22" s="38"/>
      <c r="D22" s="10" t="s">
        <v>589</v>
      </c>
      <c r="E22" s="12" t="s">
        <v>433</v>
      </c>
      <c r="F22" s="111" t="s">
        <v>184</v>
      </c>
      <c r="G22" s="112">
        <v>0</v>
      </c>
      <c r="H22" s="157"/>
      <c r="I22" s="112">
        <v>0</v>
      </c>
      <c r="J22" s="112">
        <v>0</v>
      </c>
      <c r="K22" s="110">
        <f t="shared" si="0"/>
        <v>0</v>
      </c>
      <c r="L22" s="112">
        <v>0</v>
      </c>
      <c r="M22" s="157"/>
      <c r="N22" s="112">
        <v>0</v>
      </c>
      <c r="O22" s="112">
        <v>0</v>
      </c>
      <c r="P22" s="110">
        <f t="shared" si="1"/>
        <v>0</v>
      </c>
      <c r="Q22" s="112">
        <v>0</v>
      </c>
      <c r="R22" s="157"/>
      <c r="S22" s="112">
        <v>0</v>
      </c>
      <c r="T22" s="112">
        <v>0</v>
      </c>
      <c r="U22" s="110">
        <f t="shared" si="2"/>
        <v>0</v>
      </c>
      <c r="V22" s="112">
        <v>0</v>
      </c>
      <c r="W22" s="157"/>
      <c r="X22" s="112">
        <v>0</v>
      </c>
      <c r="Y22" s="112">
        <v>0</v>
      </c>
      <c r="Z22" s="110">
        <f t="shared" si="3"/>
        <v>0</v>
      </c>
      <c r="AA22" s="112">
        <v>0</v>
      </c>
      <c r="AB22" s="157"/>
      <c r="AC22" s="112">
        <v>0</v>
      </c>
      <c r="AD22" s="112">
        <v>0</v>
      </c>
      <c r="AE22" s="110">
        <f t="shared" si="4"/>
        <v>0</v>
      </c>
      <c r="AF22" s="114">
        <v>0</v>
      </c>
      <c r="AG22" s="158"/>
      <c r="AH22" s="114">
        <v>0</v>
      </c>
      <c r="AI22" s="114">
        <v>0</v>
      </c>
      <c r="AJ22" s="110">
        <f t="shared" si="5"/>
        <v>0</v>
      </c>
      <c r="AK22" s="114">
        <v>0</v>
      </c>
      <c r="AL22" s="158"/>
      <c r="AM22" s="114">
        <v>0</v>
      </c>
      <c r="AN22" s="114">
        <v>0</v>
      </c>
      <c r="AO22" s="114">
        <v>0</v>
      </c>
      <c r="AP22" s="158"/>
      <c r="AQ22" s="114">
        <v>0</v>
      </c>
      <c r="AR22" s="114">
        <v>0</v>
      </c>
      <c r="AS22" s="12" t="s">
        <v>505</v>
      </c>
      <c r="AT22" s="12"/>
    </row>
    <row r="23" spans="2:46" x14ac:dyDescent="0.45">
      <c r="B23" s="38"/>
      <c r="C23" s="38"/>
      <c r="D23" s="10" t="s">
        <v>590</v>
      </c>
      <c r="E23" s="12" t="s">
        <v>435</v>
      </c>
      <c r="F23" s="111" t="s">
        <v>273</v>
      </c>
      <c r="G23" s="112">
        <v>0</v>
      </c>
      <c r="H23" s="157"/>
      <c r="I23" s="112">
        <v>0</v>
      </c>
      <c r="J23" s="112">
        <v>0</v>
      </c>
      <c r="K23" s="110">
        <f t="shared" si="0"/>
        <v>0</v>
      </c>
      <c r="L23" s="112">
        <v>0</v>
      </c>
      <c r="M23" s="157"/>
      <c r="N23" s="112">
        <v>0</v>
      </c>
      <c r="O23" s="112">
        <v>0</v>
      </c>
      <c r="P23" s="110">
        <f t="shared" si="1"/>
        <v>0</v>
      </c>
      <c r="Q23" s="112">
        <v>0</v>
      </c>
      <c r="R23" s="157"/>
      <c r="S23" s="112">
        <v>0</v>
      </c>
      <c r="T23" s="112">
        <v>0</v>
      </c>
      <c r="U23" s="110">
        <f t="shared" si="2"/>
        <v>0</v>
      </c>
      <c r="V23" s="112">
        <v>1</v>
      </c>
      <c r="W23" s="157"/>
      <c r="X23" s="112">
        <v>0</v>
      </c>
      <c r="Y23" s="112">
        <v>0</v>
      </c>
      <c r="Z23" s="110">
        <f t="shared" si="3"/>
        <v>0</v>
      </c>
      <c r="AA23" s="112">
        <v>1</v>
      </c>
      <c r="AB23" s="157"/>
      <c r="AC23" s="112">
        <v>0</v>
      </c>
      <c r="AD23" s="112">
        <v>0</v>
      </c>
      <c r="AE23" s="110">
        <f t="shared" si="4"/>
        <v>0</v>
      </c>
      <c r="AF23" s="114">
        <v>0</v>
      </c>
      <c r="AG23" s="158"/>
      <c r="AH23" s="114">
        <v>0</v>
      </c>
      <c r="AI23" s="114">
        <v>1</v>
      </c>
      <c r="AJ23" s="110">
        <f t="shared" si="5"/>
        <v>1</v>
      </c>
      <c r="AK23" s="114">
        <v>0.39980000000000004</v>
      </c>
      <c r="AL23" s="158"/>
      <c r="AM23" s="114">
        <v>0</v>
      </c>
      <c r="AN23" s="114">
        <v>0</v>
      </c>
      <c r="AO23" s="114">
        <v>0.39960000000000007</v>
      </c>
      <c r="AP23" s="158"/>
      <c r="AQ23" s="114">
        <v>0</v>
      </c>
      <c r="AR23" s="114">
        <v>0</v>
      </c>
      <c r="AS23" s="12" t="s">
        <v>505</v>
      </c>
      <c r="AT23" s="12"/>
    </row>
    <row r="24" spans="2:46" x14ac:dyDescent="0.45">
      <c r="B24" s="38"/>
      <c r="C24" s="38"/>
      <c r="D24" s="10" t="s">
        <v>591</v>
      </c>
      <c r="E24" s="12" t="s">
        <v>437</v>
      </c>
      <c r="F24" s="111" t="s">
        <v>184</v>
      </c>
      <c r="G24" s="112">
        <v>0</v>
      </c>
      <c r="H24" s="157"/>
      <c r="I24" s="112">
        <v>0</v>
      </c>
      <c r="J24" s="112">
        <v>0</v>
      </c>
      <c r="K24" s="110">
        <f t="shared" si="0"/>
        <v>0</v>
      </c>
      <c r="L24" s="112">
        <v>0</v>
      </c>
      <c r="M24" s="157"/>
      <c r="N24" s="112">
        <v>0</v>
      </c>
      <c r="O24" s="112">
        <v>0</v>
      </c>
      <c r="P24" s="110">
        <f t="shared" si="1"/>
        <v>0</v>
      </c>
      <c r="Q24" s="112">
        <v>0</v>
      </c>
      <c r="R24" s="157"/>
      <c r="S24" s="112">
        <v>0</v>
      </c>
      <c r="T24" s="112">
        <v>0</v>
      </c>
      <c r="U24" s="110">
        <f t="shared" si="2"/>
        <v>0</v>
      </c>
      <c r="V24" s="112">
        <v>0</v>
      </c>
      <c r="W24" s="157"/>
      <c r="X24" s="112">
        <v>0</v>
      </c>
      <c r="Y24" s="112">
        <v>0</v>
      </c>
      <c r="Z24" s="110">
        <f t="shared" si="3"/>
        <v>0</v>
      </c>
      <c r="AA24" s="112">
        <v>0</v>
      </c>
      <c r="AB24" s="157"/>
      <c r="AC24" s="112">
        <v>0</v>
      </c>
      <c r="AD24" s="112">
        <v>0</v>
      </c>
      <c r="AE24" s="110">
        <f t="shared" si="4"/>
        <v>0</v>
      </c>
      <c r="AF24" s="114">
        <v>0</v>
      </c>
      <c r="AG24" s="158"/>
      <c r="AH24" s="114">
        <v>0</v>
      </c>
      <c r="AI24" s="114">
        <v>0</v>
      </c>
      <c r="AJ24" s="110">
        <f t="shared" si="5"/>
        <v>0</v>
      </c>
      <c r="AK24" s="114">
        <v>0</v>
      </c>
      <c r="AL24" s="158"/>
      <c r="AM24" s="114">
        <v>0</v>
      </c>
      <c r="AN24" s="114">
        <v>0</v>
      </c>
      <c r="AO24" s="114">
        <v>0</v>
      </c>
      <c r="AP24" s="158"/>
      <c r="AQ24" s="114">
        <v>0</v>
      </c>
      <c r="AR24" s="114">
        <v>0</v>
      </c>
      <c r="AS24" s="12" t="s">
        <v>505</v>
      </c>
      <c r="AT24" s="12"/>
    </row>
    <row r="25" spans="2:46" x14ac:dyDescent="0.45">
      <c r="B25" s="38"/>
      <c r="C25" s="38"/>
      <c r="D25" s="10" t="s">
        <v>592</v>
      </c>
      <c r="E25" s="12" t="s">
        <v>439</v>
      </c>
      <c r="F25" s="111" t="s">
        <v>273</v>
      </c>
      <c r="G25" s="112">
        <v>2</v>
      </c>
      <c r="H25" s="157"/>
      <c r="I25" s="112">
        <v>0</v>
      </c>
      <c r="J25" s="112">
        <v>0</v>
      </c>
      <c r="K25" s="110">
        <f t="shared" si="0"/>
        <v>0</v>
      </c>
      <c r="L25" s="112">
        <v>1</v>
      </c>
      <c r="M25" s="157"/>
      <c r="N25" s="112">
        <v>1</v>
      </c>
      <c r="O25" s="112">
        <v>1</v>
      </c>
      <c r="P25" s="110">
        <f t="shared" si="1"/>
        <v>2</v>
      </c>
      <c r="Q25" s="112">
        <v>0</v>
      </c>
      <c r="R25" s="157"/>
      <c r="S25" s="112">
        <v>0</v>
      </c>
      <c r="T25" s="112">
        <v>0</v>
      </c>
      <c r="U25" s="110">
        <f t="shared" si="2"/>
        <v>0</v>
      </c>
      <c r="V25" s="112">
        <v>0</v>
      </c>
      <c r="W25" s="157"/>
      <c r="X25" s="112">
        <v>0</v>
      </c>
      <c r="Y25" s="112">
        <v>0</v>
      </c>
      <c r="Z25" s="110">
        <f t="shared" si="3"/>
        <v>0</v>
      </c>
      <c r="AA25" s="112">
        <v>1</v>
      </c>
      <c r="AB25" s="157"/>
      <c r="AC25" s="112">
        <v>0</v>
      </c>
      <c r="AD25" s="112">
        <v>0</v>
      </c>
      <c r="AE25" s="110">
        <f t="shared" si="4"/>
        <v>0</v>
      </c>
      <c r="AF25" s="114">
        <v>1</v>
      </c>
      <c r="AG25" s="158"/>
      <c r="AH25" s="114">
        <v>0</v>
      </c>
      <c r="AI25" s="114">
        <v>2</v>
      </c>
      <c r="AJ25" s="110">
        <f t="shared" si="5"/>
        <v>2</v>
      </c>
      <c r="AK25" s="114">
        <v>0.79970000000000008</v>
      </c>
      <c r="AL25" s="158"/>
      <c r="AM25" s="114">
        <v>0.19400000000000001</v>
      </c>
      <c r="AN25" s="114">
        <v>0.16810000000000003</v>
      </c>
      <c r="AO25" s="114">
        <v>0.79940000000000011</v>
      </c>
      <c r="AP25" s="158"/>
      <c r="AQ25" s="114">
        <v>0.18760000000000002</v>
      </c>
      <c r="AR25" s="114">
        <v>0.16020000000000004</v>
      </c>
      <c r="AS25" s="12" t="s">
        <v>505</v>
      </c>
      <c r="AT25" s="12"/>
    </row>
    <row r="26" spans="2:46" x14ac:dyDescent="0.45">
      <c r="B26" s="38"/>
      <c r="C26" s="38"/>
      <c r="D26" s="10" t="s">
        <v>593</v>
      </c>
      <c r="E26" s="12" t="s">
        <v>441</v>
      </c>
      <c r="F26" s="111" t="s">
        <v>273</v>
      </c>
      <c r="G26" s="112">
        <v>1</v>
      </c>
      <c r="H26" s="157"/>
      <c r="I26" s="112">
        <v>0</v>
      </c>
      <c r="J26" s="112">
        <v>0</v>
      </c>
      <c r="K26" s="110">
        <f t="shared" si="0"/>
        <v>0</v>
      </c>
      <c r="L26" s="112">
        <v>0</v>
      </c>
      <c r="M26" s="157"/>
      <c r="N26" s="112">
        <v>1</v>
      </c>
      <c r="O26" s="112">
        <v>1</v>
      </c>
      <c r="P26" s="110">
        <f t="shared" si="1"/>
        <v>2</v>
      </c>
      <c r="Q26" s="112">
        <v>0</v>
      </c>
      <c r="R26" s="157"/>
      <c r="S26" s="112">
        <v>0</v>
      </c>
      <c r="T26" s="112">
        <v>0</v>
      </c>
      <c r="U26" s="110">
        <f t="shared" si="2"/>
        <v>0</v>
      </c>
      <c r="V26" s="112">
        <v>0</v>
      </c>
      <c r="W26" s="157"/>
      <c r="X26" s="112">
        <v>0</v>
      </c>
      <c r="Y26" s="112">
        <v>1</v>
      </c>
      <c r="Z26" s="110">
        <f t="shared" si="3"/>
        <v>1</v>
      </c>
      <c r="AA26" s="112">
        <v>0</v>
      </c>
      <c r="AB26" s="157"/>
      <c r="AC26" s="112">
        <v>0</v>
      </c>
      <c r="AD26" s="112">
        <v>0</v>
      </c>
      <c r="AE26" s="110">
        <f t="shared" si="4"/>
        <v>0</v>
      </c>
      <c r="AF26" s="114">
        <v>0</v>
      </c>
      <c r="AG26" s="158"/>
      <c r="AH26" s="114">
        <v>1</v>
      </c>
      <c r="AI26" s="114">
        <v>0</v>
      </c>
      <c r="AJ26" s="110">
        <f t="shared" si="5"/>
        <v>1</v>
      </c>
      <c r="AK26" s="114">
        <v>0.19990000000000002</v>
      </c>
      <c r="AL26" s="158"/>
      <c r="AM26" s="114">
        <v>0.19640000000000002</v>
      </c>
      <c r="AN26" s="114">
        <v>0.34320000000000001</v>
      </c>
      <c r="AO26" s="114">
        <v>0.19980000000000003</v>
      </c>
      <c r="AP26" s="158"/>
      <c r="AQ26" s="114">
        <v>0.19310000000000002</v>
      </c>
      <c r="AR26" s="114">
        <v>0.32869999999999999</v>
      </c>
      <c r="AS26" s="12" t="s">
        <v>505</v>
      </c>
      <c r="AT26" s="12"/>
    </row>
    <row r="27" spans="2:46" x14ac:dyDescent="0.45">
      <c r="B27" s="38"/>
      <c r="C27" s="38"/>
      <c r="D27" s="10" t="s">
        <v>594</v>
      </c>
      <c r="E27" s="12" t="s">
        <v>350</v>
      </c>
      <c r="F27" s="111" t="s">
        <v>273</v>
      </c>
      <c r="G27" s="112">
        <v>0</v>
      </c>
      <c r="H27" s="157"/>
      <c r="I27" s="112">
        <v>0</v>
      </c>
      <c r="J27" s="112">
        <v>0</v>
      </c>
      <c r="K27" s="110">
        <f t="shared" si="0"/>
        <v>0</v>
      </c>
      <c r="L27" s="112">
        <v>0</v>
      </c>
      <c r="M27" s="157"/>
      <c r="N27" s="112">
        <v>0</v>
      </c>
      <c r="O27" s="112">
        <v>1</v>
      </c>
      <c r="P27" s="110">
        <f t="shared" si="1"/>
        <v>1</v>
      </c>
      <c r="Q27" s="112">
        <v>0</v>
      </c>
      <c r="R27" s="157"/>
      <c r="S27" s="112">
        <v>1</v>
      </c>
      <c r="T27" s="112">
        <v>0</v>
      </c>
      <c r="U27" s="110">
        <f t="shared" si="2"/>
        <v>1</v>
      </c>
      <c r="V27" s="112">
        <v>2</v>
      </c>
      <c r="W27" s="157"/>
      <c r="X27" s="112">
        <v>1</v>
      </c>
      <c r="Y27" s="112">
        <v>0</v>
      </c>
      <c r="Z27" s="110">
        <f t="shared" si="3"/>
        <v>1</v>
      </c>
      <c r="AA27" s="112">
        <v>1</v>
      </c>
      <c r="AB27" s="157"/>
      <c r="AC27" s="112">
        <v>1</v>
      </c>
      <c r="AD27" s="112">
        <v>1</v>
      </c>
      <c r="AE27" s="110">
        <f t="shared" si="4"/>
        <v>2</v>
      </c>
      <c r="AF27" s="114">
        <v>1</v>
      </c>
      <c r="AG27" s="158"/>
      <c r="AH27" s="114">
        <v>1</v>
      </c>
      <c r="AI27" s="114">
        <v>0</v>
      </c>
      <c r="AJ27" s="110">
        <f t="shared" si="5"/>
        <v>1</v>
      </c>
      <c r="AK27" s="114">
        <v>0.5998</v>
      </c>
      <c r="AL27" s="158"/>
      <c r="AM27" s="114">
        <v>0.58919999999999995</v>
      </c>
      <c r="AN27" s="114">
        <v>0.34320000000000001</v>
      </c>
      <c r="AO27" s="114">
        <v>0.59960000000000002</v>
      </c>
      <c r="AP27" s="158"/>
      <c r="AQ27" s="114">
        <v>0.57919999999999994</v>
      </c>
      <c r="AR27" s="114">
        <v>0.32869999999999999</v>
      </c>
      <c r="AS27" s="12" t="s">
        <v>505</v>
      </c>
      <c r="AT27" s="12"/>
    </row>
    <row r="28" spans="2:46" x14ac:dyDescent="0.45">
      <c r="B28" s="38"/>
      <c r="C28" s="38" t="s">
        <v>351</v>
      </c>
      <c r="D28" s="10" t="s">
        <v>93</v>
      </c>
      <c r="E28" s="12" t="s">
        <v>352</v>
      </c>
      <c r="F28" s="111" t="s">
        <v>273</v>
      </c>
      <c r="G28" s="112">
        <v>0</v>
      </c>
      <c r="H28" s="157"/>
      <c r="I28" s="112">
        <v>0</v>
      </c>
      <c r="J28" s="112">
        <v>0</v>
      </c>
      <c r="K28" s="110">
        <f t="shared" si="0"/>
        <v>0</v>
      </c>
      <c r="L28" s="112">
        <v>0</v>
      </c>
      <c r="M28" s="157"/>
      <c r="N28" s="112">
        <v>0</v>
      </c>
      <c r="O28" s="112">
        <v>0</v>
      </c>
      <c r="P28" s="110">
        <f t="shared" si="1"/>
        <v>0</v>
      </c>
      <c r="Q28" s="112">
        <v>0</v>
      </c>
      <c r="R28" s="157"/>
      <c r="S28" s="112">
        <v>0</v>
      </c>
      <c r="T28" s="112">
        <v>0</v>
      </c>
      <c r="U28" s="110">
        <f t="shared" si="2"/>
        <v>0</v>
      </c>
      <c r="V28" s="112">
        <v>1</v>
      </c>
      <c r="W28" s="157"/>
      <c r="X28" s="112">
        <v>0</v>
      </c>
      <c r="Y28" s="112">
        <v>0</v>
      </c>
      <c r="Z28" s="110">
        <f t="shared" si="3"/>
        <v>0</v>
      </c>
      <c r="AA28" s="112">
        <v>1</v>
      </c>
      <c r="AB28" s="157"/>
      <c r="AC28" s="112">
        <v>1</v>
      </c>
      <c r="AD28" s="112">
        <v>0</v>
      </c>
      <c r="AE28" s="110">
        <f t="shared" si="4"/>
        <v>1</v>
      </c>
      <c r="AF28" s="114">
        <v>0</v>
      </c>
      <c r="AG28" s="158"/>
      <c r="AH28" s="114">
        <v>0</v>
      </c>
      <c r="AI28" s="114">
        <v>0</v>
      </c>
      <c r="AJ28" s="110">
        <f t="shared" si="5"/>
        <v>0</v>
      </c>
      <c r="AK28" s="114">
        <v>0.39980000000000004</v>
      </c>
      <c r="AL28" s="158"/>
      <c r="AM28" s="114">
        <v>0.19640000000000002</v>
      </c>
      <c r="AN28" s="114">
        <v>0</v>
      </c>
      <c r="AO28" s="114">
        <v>0.39960000000000007</v>
      </c>
      <c r="AP28" s="158"/>
      <c r="AQ28" s="114">
        <v>0.19310000000000002</v>
      </c>
      <c r="AR28" s="114">
        <v>0</v>
      </c>
      <c r="AS28" s="12" t="s">
        <v>505</v>
      </c>
      <c r="AT28" s="12"/>
    </row>
    <row r="29" spans="2:46" x14ac:dyDescent="0.45">
      <c r="B29" s="38"/>
      <c r="C29" s="38" t="s">
        <v>353</v>
      </c>
      <c r="D29" s="10" t="s">
        <v>135</v>
      </c>
      <c r="E29" s="12" t="s">
        <v>354</v>
      </c>
      <c r="F29" s="111" t="s">
        <v>184</v>
      </c>
      <c r="G29" s="112">
        <v>0</v>
      </c>
      <c r="H29" s="157"/>
      <c r="I29" s="112">
        <v>0</v>
      </c>
      <c r="J29" s="112">
        <v>0</v>
      </c>
      <c r="K29" s="110">
        <f t="shared" si="0"/>
        <v>0</v>
      </c>
      <c r="L29" s="112">
        <v>0</v>
      </c>
      <c r="M29" s="157"/>
      <c r="N29" s="112">
        <v>0</v>
      </c>
      <c r="O29" s="112">
        <v>0</v>
      </c>
      <c r="P29" s="110">
        <f t="shared" si="1"/>
        <v>0</v>
      </c>
      <c r="Q29" s="112">
        <v>0</v>
      </c>
      <c r="R29" s="157"/>
      <c r="S29" s="112">
        <v>0</v>
      </c>
      <c r="T29" s="112">
        <v>0</v>
      </c>
      <c r="U29" s="110">
        <f t="shared" si="2"/>
        <v>0</v>
      </c>
      <c r="V29" s="112">
        <v>0</v>
      </c>
      <c r="W29" s="157"/>
      <c r="X29" s="112">
        <v>0</v>
      </c>
      <c r="Y29" s="112">
        <v>0</v>
      </c>
      <c r="Z29" s="110">
        <f t="shared" si="3"/>
        <v>0</v>
      </c>
      <c r="AA29" s="112">
        <v>0</v>
      </c>
      <c r="AB29" s="157"/>
      <c r="AC29" s="112">
        <v>0</v>
      </c>
      <c r="AD29" s="112">
        <v>0</v>
      </c>
      <c r="AE29" s="110">
        <f t="shared" si="4"/>
        <v>0</v>
      </c>
      <c r="AF29" s="114">
        <v>0</v>
      </c>
      <c r="AG29" s="158"/>
      <c r="AH29" s="114">
        <v>0</v>
      </c>
      <c r="AI29" s="114">
        <v>0</v>
      </c>
      <c r="AJ29" s="110">
        <f t="shared" si="5"/>
        <v>0</v>
      </c>
      <c r="AK29" s="114">
        <v>0</v>
      </c>
      <c r="AL29" s="158"/>
      <c r="AM29" s="114">
        <v>0</v>
      </c>
      <c r="AN29" s="114">
        <v>0</v>
      </c>
      <c r="AO29" s="114">
        <v>0</v>
      </c>
      <c r="AP29" s="158"/>
      <c r="AQ29" s="114">
        <v>0</v>
      </c>
      <c r="AR29" s="114">
        <v>0</v>
      </c>
      <c r="AS29" s="12" t="s">
        <v>505</v>
      </c>
      <c r="AT29" s="12"/>
    </row>
    <row r="30" spans="2:46" x14ac:dyDescent="0.45">
      <c r="B30" s="38"/>
      <c r="C30" s="38" t="s">
        <v>355</v>
      </c>
      <c r="D30" s="10" t="s">
        <v>139</v>
      </c>
      <c r="E30" s="12" t="s">
        <v>356</v>
      </c>
      <c r="F30" s="111" t="s">
        <v>184</v>
      </c>
      <c r="G30" s="112">
        <v>0</v>
      </c>
      <c r="H30" s="157"/>
      <c r="I30" s="112">
        <v>0</v>
      </c>
      <c r="J30" s="112">
        <v>0</v>
      </c>
      <c r="K30" s="110">
        <f t="shared" si="0"/>
        <v>0</v>
      </c>
      <c r="L30" s="112">
        <v>0</v>
      </c>
      <c r="M30" s="157"/>
      <c r="N30" s="112">
        <v>0</v>
      </c>
      <c r="O30" s="112">
        <v>0</v>
      </c>
      <c r="P30" s="110">
        <f t="shared" si="1"/>
        <v>0</v>
      </c>
      <c r="Q30" s="112">
        <v>0</v>
      </c>
      <c r="R30" s="157"/>
      <c r="S30" s="112">
        <v>0</v>
      </c>
      <c r="T30" s="112">
        <v>0</v>
      </c>
      <c r="U30" s="110">
        <f t="shared" si="2"/>
        <v>0</v>
      </c>
      <c r="V30" s="112">
        <v>0</v>
      </c>
      <c r="W30" s="157"/>
      <c r="X30" s="112">
        <v>0</v>
      </c>
      <c r="Y30" s="112">
        <v>0</v>
      </c>
      <c r="Z30" s="110">
        <f t="shared" si="3"/>
        <v>0</v>
      </c>
      <c r="AA30" s="112">
        <v>0</v>
      </c>
      <c r="AB30" s="157"/>
      <c r="AC30" s="112">
        <v>0</v>
      </c>
      <c r="AD30" s="112">
        <v>0</v>
      </c>
      <c r="AE30" s="110">
        <f t="shared" si="4"/>
        <v>0</v>
      </c>
      <c r="AF30" s="114">
        <v>0</v>
      </c>
      <c r="AG30" s="158"/>
      <c r="AH30" s="114">
        <v>0</v>
      </c>
      <c r="AI30" s="114">
        <v>0</v>
      </c>
      <c r="AJ30" s="110">
        <f t="shared" si="5"/>
        <v>0</v>
      </c>
      <c r="AK30" s="114">
        <v>0</v>
      </c>
      <c r="AL30" s="158"/>
      <c r="AM30" s="114">
        <v>0</v>
      </c>
      <c r="AN30" s="114">
        <v>0</v>
      </c>
      <c r="AO30" s="114">
        <v>0</v>
      </c>
      <c r="AP30" s="158"/>
      <c r="AQ30" s="114">
        <v>0</v>
      </c>
      <c r="AR30" s="114">
        <v>0</v>
      </c>
      <c r="AS30" s="12" t="s">
        <v>505</v>
      </c>
      <c r="AT30" s="12"/>
    </row>
    <row r="31" spans="2:46" x14ac:dyDescent="0.45">
      <c r="B31" s="38"/>
      <c r="C31" s="38" t="s">
        <v>357</v>
      </c>
      <c r="D31" s="10" t="s">
        <v>146</v>
      </c>
      <c r="E31" s="12" t="s">
        <v>358</v>
      </c>
      <c r="F31" s="111" t="s">
        <v>273</v>
      </c>
      <c r="G31" s="112">
        <v>0</v>
      </c>
      <c r="H31" s="157"/>
      <c r="I31" s="112">
        <v>0</v>
      </c>
      <c r="J31" s="112">
        <v>0</v>
      </c>
      <c r="K31" s="110">
        <f t="shared" si="0"/>
        <v>0</v>
      </c>
      <c r="L31" s="112">
        <v>0</v>
      </c>
      <c r="M31" s="157"/>
      <c r="N31" s="112">
        <v>0</v>
      </c>
      <c r="O31" s="112">
        <v>1</v>
      </c>
      <c r="P31" s="110">
        <f t="shared" si="1"/>
        <v>1</v>
      </c>
      <c r="Q31" s="112">
        <v>1</v>
      </c>
      <c r="R31" s="157"/>
      <c r="S31" s="112">
        <v>0</v>
      </c>
      <c r="T31" s="112">
        <v>0</v>
      </c>
      <c r="U31" s="110">
        <f t="shared" si="2"/>
        <v>0</v>
      </c>
      <c r="V31" s="112">
        <v>0</v>
      </c>
      <c r="W31" s="157"/>
      <c r="X31" s="112">
        <v>0</v>
      </c>
      <c r="Y31" s="112">
        <v>0</v>
      </c>
      <c r="Z31" s="110">
        <f t="shared" si="3"/>
        <v>0</v>
      </c>
      <c r="AA31" s="112">
        <v>0</v>
      </c>
      <c r="AB31" s="157"/>
      <c r="AC31" s="112">
        <v>0</v>
      </c>
      <c r="AD31" s="112">
        <v>0</v>
      </c>
      <c r="AE31" s="110">
        <f t="shared" si="4"/>
        <v>0</v>
      </c>
      <c r="AF31" s="114">
        <v>0</v>
      </c>
      <c r="AG31" s="158"/>
      <c r="AH31" s="114">
        <v>0</v>
      </c>
      <c r="AI31" s="114">
        <v>0</v>
      </c>
      <c r="AJ31" s="110">
        <f t="shared" si="5"/>
        <v>0</v>
      </c>
      <c r="AK31" s="114">
        <v>0.2</v>
      </c>
      <c r="AL31" s="158"/>
      <c r="AM31" s="114">
        <v>0</v>
      </c>
      <c r="AN31" s="114">
        <v>0.1986</v>
      </c>
      <c r="AO31" s="114">
        <v>0.2</v>
      </c>
      <c r="AP31" s="158"/>
      <c r="AQ31" s="114">
        <v>0</v>
      </c>
      <c r="AR31" s="114">
        <v>0.19650000000000001</v>
      </c>
      <c r="AS31" s="12" t="s">
        <v>505</v>
      </c>
      <c r="AT31" s="12"/>
    </row>
    <row r="32" spans="2:46" x14ac:dyDescent="0.45">
      <c r="B32" s="38"/>
      <c r="C32" s="38" t="s">
        <v>359</v>
      </c>
      <c r="D32" s="10" t="s">
        <v>150</v>
      </c>
      <c r="E32" s="12" t="s">
        <v>360</v>
      </c>
      <c r="F32" s="111" t="s">
        <v>184</v>
      </c>
      <c r="G32" s="112">
        <v>0</v>
      </c>
      <c r="H32" s="157"/>
      <c r="I32" s="112">
        <v>0</v>
      </c>
      <c r="J32" s="112">
        <v>0</v>
      </c>
      <c r="K32" s="110">
        <f t="shared" si="0"/>
        <v>0</v>
      </c>
      <c r="L32" s="112">
        <v>0</v>
      </c>
      <c r="M32" s="157"/>
      <c r="N32" s="112">
        <v>0</v>
      </c>
      <c r="O32" s="112">
        <v>0</v>
      </c>
      <c r="P32" s="110">
        <f t="shared" si="1"/>
        <v>0</v>
      </c>
      <c r="Q32" s="112">
        <v>0</v>
      </c>
      <c r="R32" s="157"/>
      <c r="S32" s="112">
        <v>0</v>
      </c>
      <c r="T32" s="112">
        <v>0</v>
      </c>
      <c r="U32" s="110">
        <f t="shared" si="2"/>
        <v>0</v>
      </c>
      <c r="V32" s="112">
        <v>0</v>
      </c>
      <c r="W32" s="157"/>
      <c r="X32" s="112">
        <v>0</v>
      </c>
      <c r="Y32" s="112">
        <v>0</v>
      </c>
      <c r="Z32" s="110">
        <f t="shared" si="3"/>
        <v>0</v>
      </c>
      <c r="AA32" s="112">
        <v>0</v>
      </c>
      <c r="AB32" s="157"/>
      <c r="AC32" s="112">
        <v>0</v>
      </c>
      <c r="AD32" s="112">
        <v>0</v>
      </c>
      <c r="AE32" s="110">
        <f t="shared" si="4"/>
        <v>0</v>
      </c>
      <c r="AF32" s="114">
        <v>0</v>
      </c>
      <c r="AG32" s="158"/>
      <c r="AH32" s="114">
        <v>0</v>
      </c>
      <c r="AI32" s="114">
        <v>0</v>
      </c>
      <c r="AJ32" s="110">
        <f t="shared" si="5"/>
        <v>0</v>
      </c>
      <c r="AK32" s="114">
        <v>0</v>
      </c>
      <c r="AL32" s="158"/>
      <c r="AM32" s="114">
        <v>0</v>
      </c>
      <c r="AN32" s="114">
        <v>0</v>
      </c>
      <c r="AO32" s="114">
        <v>0</v>
      </c>
      <c r="AP32" s="158"/>
      <c r="AQ32" s="114">
        <v>0</v>
      </c>
      <c r="AR32" s="114">
        <v>0</v>
      </c>
      <c r="AS32" s="12" t="s">
        <v>505</v>
      </c>
      <c r="AT32" s="12"/>
    </row>
    <row r="33" spans="1:46" x14ac:dyDescent="0.45">
      <c r="B33" s="38"/>
      <c r="C33" s="38" t="s">
        <v>361</v>
      </c>
      <c r="D33" s="10" t="s">
        <v>168</v>
      </c>
      <c r="E33" s="12" t="s">
        <v>362</v>
      </c>
      <c r="F33" s="111" t="s">
        <v>273</v>
      </c>
      <c r="G33" s="112">
        <v>0</v>
      </c>
      <c r="H33" s="157"/>
      <c r="I33" s="112">
        <v>1</v>
      </c>
      <c r="J33" s="112">
        <v>1</v>
      </c>
      <c r="K33" s="110">
        <f t="shared" si="0"/>
        <v>2</v>
      </c>
      <c r="L33" s="112">
        <v>0</v>
      </c>
      <c r="M33" s="157"/>
      <c r="N33" s="112">
        <v>0</v>
      </c>
      <c r="O33" s="112">
        <v>0</v>
      </c>
      <c r="P33" s="110">
        <f t="shared" si="1"/>
        <v>0</v>
      </c>
      <c r="Q33" s="112">
        <v>0</v>
      </c>
      <c r="R33" s="157"/>
      <c r="S33" s="112">
        <v>1</v>
      </c>
      <c r="T33" s="112">
        <v>0</v>
      </c>
      <c r="U33" s="110">
        <f t="shared" si="2"/>
        <v>1</v>
      </c>
      <c r="V33" s="112">
        <v>0</v>
      </c>
      <c r="W33" s="157"/>
      <c r="X33" s="112">
        <v>0</v>
      </c>
      <c r="Y33" s="112">
        <v>0</v>
      </c>
      <c r="Z33" s="110">
        <f t="shared" si="3"/>
        <v>0</v>
      </c>
      <c r="AA33" s="112">
        <v>0</v>
      </c>
      <c r="AB33" s="157"/>
      <c r="AC33" s="112">
        <v>0</v>
      </c>
      <c r="AD33" s="112">
        <v>0</v>
      </c>
      <c r="AE33" s="110">
        <f t="shared" si="4"/>
        <v>0</v>
      </c>
      <c r="AF33" s="114">
        <v>0</v>
      </c>
      <c r="AG33" s="158"/>
      <c r="AH33" s="114">
        <v>0</v>
      </c>
      <c r="AI33" s="114">
        <v>0</v>
      </c>
      <c r="AJ33" s="110">
        <f t="shared" si="5"/>
        <v>0</v>
      </c>
      <c r="AK33" s="114">
        <v>0</v>
      </c>
      <c r="AL33" s="158"/>
      <c r="AM33" s="114">
        <v>0.39280000000000004</v>
      </c>
      <c r="AN33" s="114">
        <v>0.19600000000000001</v>
      </c>
      <c r="AO33" s="114">
        <v>0</v>
      </c>
      <c r="AP33" s="158"/>
      <c r="AQ33" s="114">
        <v>0.38610000000000005</v>
      </c>
      <c r="AR33" s="114">
        <v>0.18870000000000001</v>
      </c>
      <c r="AS33" s="12" t="s">
        <v>505</v>
      </c>
      <c r="AT33" s="12"/>
    </row>
    <row r="34" spans="1:46" x14ac:dyDescent="0.45">
      <c r="A34" s="8" t="s">
        <v>333</v>
      </c>
      <c r="B34" s="38" t="s">
        <v>538</v>
      </c>
      <c r="C34" s="38" t="s">
        <v>364</v>
      </c>
      <c r="D34" s="10" t="s">
        <v>171</v>
      </c>
      <c r="E34" s="12" t="s">
        <v>365</v>
      </c>
      <c r="F34" s="111" t="s">
        <v>273</v>
      </c>
      <c r="G34" s="112">
        <v>0</v>
      </c>
      <c r="H34" s="157"/>
      <c r="I34" s="112">
        <v>0</v>
      </c>
      <c r="J34" s="112">
        <v>0</v>
      </c>
      <c r="K34" s="110">
        <f t="shared" si="0"/>
        <v>0</v>
      </c>
      <c r="L34" s="112">
        <v>0</v>
      </c>
      <c r="M34" s="157"/>
      <c r="N34" s="112">
        <v>0</v>
      </c>
      <c r="O34" s="112">
        <v>0</v>
      </c>
      <c r="P34" s="110">
        <f t="shared" si="1"/>
        <v>0</v>
      </c>
      <c r="Q34" s="112">
        <v>0</v>
      </c>
      <c r="R34" s="157"/>
      <c r="S34" s="112">
        <v>0</v>
      </c>
      <c r="T34" s="112">
        <v>0</v>
      </c>
      <c r="U34" s="110">
        <f t="shared" si="2"/>
        <v>0</v>
      </c>
      <c r="V34" s="112">
        <v>0</v>
      </c>
      <c r="W34" s="157"/>
      <c r="X34" s="112">
        <v>0</v>
      </c>
      <c r="Y34" s="112">
        <v>0</v>
      </c>
      <c r="Z34" s="110">
        <f t="shared" si="3"/>
        <v>0</v>
      </c>
      <c r="AA34" s="112">
        <v>0</v>
      </c>
      <c r="AB34" s="157"/>
      <c r="AC34" s="112">
        <v>0</v>
      </c>
      <c r="AD34" s="112">
        <v>0</v>
      </c>
      <c r="AE34" s="110">
        <f t="shared" si="4"/>
        <v>0</v>
      </c>
      <c r="AF34" s="114">
        <v>0</v>
      </c>
      <c r="AG34" s="158"/>
      <c r="AH34" s="114">
        <v>0</v>
      </c>
      <c r="AI34" s="114">
        <v>0</v>
      </c>
      <c r="AJ34" s="110">
        <f t="shared" si="5"/>
        <v>0</v>
      </c>
      <c r="AK34" s="114">
        <v>0</v>
      </c>
      <c r="AL34" s="158"/>
      <c r="AM34" s="114">
        <v>0</v>
      </c>
      <c r="AN34" s="114">
        <v>0</v>
      </c>
      <c r="AO34" s="114">
        <v>0</v>
      </c>
      <c r="AP34" s="158"/>
      <c r="AQ34" s="114">
        <v>0</v>
      </c>
      <c r="AR34" s="114">
        <v>0</v>
      </c>
      <c r="AS34" s="12" t="s">
        <v>505</v>
      </c>
      <c r="AT34" s="12"/>
    </row>
    <row r="35" spans="1:46" x14ac:dyDescent="0.45">
      <c r="B35" s="38"/>
      <c r="C35" s="38"/>
      <c r="D35" s="10" t="s">
        <v>366</v>
      </c>
      <c r="E35" s="12" t="s">
        <v>367</v>
      </c>
      <c r="F35" s="111" t="s">
        <v>273</v>
      </c>
      <c r="G35" s="112">
        <v>2</v>
      </c>
      <c r="H35" s="157"/>
      <c r="I35" s="112">
        <v>1</v>
      </c>
      <c r="J35" s="112">
        <v>0</v>
      </c>
      <c r="K35" s="110">
        <f t="shared" si="0"/>
        <v>1</v>
      </c>
      <c r="L35" s="112">
        <v>0</v>
      </c>
      <c r="M35" s="157"/>
      <c r="N35" s="112">
        <v>0</v>
      </c>
      <c r="O35" s="112">
        <v>0</v>
      </c>
      <c r="P35" s="110">
        <f t="shared" si="1"/>
        <v>0</v>
      </c>
      <c r="Q35" s="112">
        <v>0</v>
      </c>
      <c r="R35" s="157"/>
      <c r="S35" s="112">
        <v>0</v>
      </c>
      <c r="T35" s="112">
        <v>0</v>
      </c>
      <c r="U35" s="110">
        <f t="shared" si="2"/>
        <v>0</v>
      </c>
      <c r="V35" s="112">
        <v>0</v>
      </c>
      <c r="W35" s="157"/>
      <c r="X35" s="112">
        <v>1</v>
      </c>
      <c r="Y35" s="112">
        <v>0</v>
      </c>
      <c r="Z35" s="110">
        <f t="shared" si="3"/>
        <v>1</v>
      </c>
      <c r="AA35" s="112">
        <v>0</v>
      </c>
      <c r="AB35" s="157"/>
      <c r="AC35" s="112">
        <v>0</v>
      </c>
      <c r="AD35" s="112">
        <v>0</v>
      </c>
      <c r="AE35" s="110">
        <f t="shared" si="4"/>
        <v>0</v>
      </c>
      <c r="AF35" s="114">
        <v>0</v>
      </c>
      <c r="AG35" s="158"/>
      <c r="AH35" s="114">
        <v>0</v>
      </c>
      <c r="AI35" s="114">
        <v>1</v>
      </c>
      <c r="AJ35" s="110">
        <f t="shared" si="5"/>
        <v>1</v>
      </c>
      <c r="AK35" s="114">
        <v>0.4</v>
      </c>
      <c r="AL35" s="158"/>
      <c r="AM35" s="114">
        <v>0.37480000000000002</v>
      </c>
      <c r="AN35" s="114">
        <v>0</v>
      </c>
      <c r="AO35" s="114">
        <v>0.4</v>
      </c>
      <c r="AP35" s="158"/>
      <c r="AQ35" s="114">
        <v>0.36700000000000005</v>
      </c>
      <c r="AR35" s="114">
        <v>0</v>
      </c>
      <c r="AS35" s="12" t="s">
        <v>505</v>
      </c>
      <c r="AT35" s="12"/>
    </row>
    <row r="36" spans="1:46" x14ac:dyDescent="0.45">
      <c r="B36" s="38"/>
      <c r="C36" s="38"/>
      <c r="D36" s="10" t="s">
        <v>368</v>
      </c>
      <c r="E36" s="12" t="s">
        <v>369</v>
      </c>
      <c r="F36" s="111" t="s">
        <v>273</v>
      </c>
      <c r="G36" s="112">
        <v>0</v>
      </c>
      <c r="H36" s="157"/>
      <c r="I36" s="112">
        <v>1</v>
      </c>
      <c r="J36" s="112">
        <v>0</v>
      </c>
      <c r="K36" s="110">
        <f t="shared" si="0"/>
        <v>1</v>
      </c>
      <c r="L36" s="112">
        <v>0</v>
      </c>
      <c r="M36" s="157"/>
      <c r="N36" s="112">
        <v>0</v>
      </c>
      <c r="O36" s="112">
        <v>0</v>
      </c>
      <c r="P36" s="110">
        <f t="shared" si="1"/>
        <v>0</v>
      </c>
      <c r="Q36" s="112">
        <v>0</v>
      </c>
      <c r="R36" s="157"/>
      <c r="S36" s="112">
        <v>1</v>
      </c>
      <c r="T36" s="112">
        <v>0</v>
      </c>
      <c r="U36" s="110">
        <f t="shared" si="2"/>
        <v>1</v>
      </c>
      <c r="V36" s="112">
        <v>0</v>
      </c>
      <c r="W36" s="157"/>
      <c r="X36" s="112">
        <v>0</v>
      </c>
      <c r="Y36" s="112">
        <v>0</v>
      </c>
      <c r="Z36" s="110">
        <f t="shared" si="3"/>
        <v>0</v>
      </c>
      <c r="AA36" s="112">
        <v>1</v>
      </c>
      <c r="AB36" s="157"/>
      <c r="AC36" s="112">
        <v>0</v>
      </c>
      <c r="AD36" s="112">
        <v>0</v>
      </c>
      <c r="AE36" s="110">
        <f t="shared" si="4"/>
        <v>0</v>
      </c>
      <c r="AF36" s="114">
        <v>0</v>
      </c>
      <c r="AG36" s="158"/>
      <c r="AH36" s="114">
        <v>0</v>
      </c>
      <c r="AI36" s="114">
        <v>0</v>
      </c>
      <c r="AJ36" s="110">
        <f t="shared" si="5"/>
        <v>0</v>
      </c>
      <c r="AK36" s="114">
        <v>0.2</v>
      </c>
      <c r="AL36" s="158"/>
      <c r="AM36" s="114">
        <v>0.37480000000000002</v>
      </c>
      <c r="AN36" s="114">
        <v>0</v>
      </c>
      <c r="AO36" s="114">
        <v>0.2</v>
      </c>
      <c r="AP36" s="158"/>
      <c r="AQ36" s="114">
        <v>0.36700000000000005</v>
      </c>
      <c r="AR36" s="114">
        <v>0</v>
      </c>
      <c r="AS36" s="12" t="s">
        <v>505</v>
      </c>
      <c r="AT36" s="12"/>
    </row>
    <row r="37" spans="1:46" x14ac:dyDescent="0.45">
      <c r="B37" s="38"/>
      <c r="C37" s="38"/>
      <c r="D37" s="10" t="s">
        <v>370</v>
      </c>
      <c r="E37" s="12" t="s">
        <v>371</v>
      </c>
      <c r="F37" s="111" t="s">
        <v>273</v>
      </c>
      <c r="G37" s="112">
        <v>0</v>
      </c>
      <c r="H37" s="157"/>
      <c r="I37" s="112">
        <v>0</v>
      </c>
      <c r="J37" s="112">
        <v>0</v>
      </c>
      <c r="K37" s="110">
        <f t="shared" si="0"/>
        <v>0</v>
      </c>
      <c r="L37" s="112">
        <v>0</v>
      </c>
      <c r="M37" s="157"/>
      <c r="N37" s="112">
        <v>0</v>
      </c>
      <c r="O37" s="112">
        <v>0</v>
      </c>
      <c r="P37" s="110">
        <f t="shared" si="1"/>
        <v>0</v>
      </c>
      <c r="Q37" s="112">
        <v>0</v>
      </c>
      <c r="R37" s="157"/>
      <c r="S37" s="112">
        <v>0</v>
      </c>
      <c r="T37" s="112">
        <v>0</v>
      </c>
      <c r="U37" s="110">
        <f t="shared" si="2"/>
        <v>0</v>
      </c>
      <c r="V37" s="112">
        <v>2</v>
      </c>
      <c r="W37" s="157"/>
      <c r="X37" s="112">
        <v>0</v>
      </c>
      <c r="Y37" s="112">
        <v>1</v>
      </c>
      <c r="Z37" s="110">
        <f t="shared" si="3"/>
        <v>1</v>
      </c>
      <c r="AA37" s="112">
        <v>0</v>
      </c>
      <c r="AB37" s="157"/>
      <c r="AC37" s="112">
        <v>0</v>
      </c>
      <c r="AD37" s="112">
        <v>0</v>
      </c>
      <c r="AE37" s="110">
        <f t="shared" si="4"/>
        <v>0</v>
      </c>
      <c r="AF37" s="114">
        <v>0</v>
      </c>
      <c r="AG37" s="158"/>
      <c r="AH37" s="114">
        <v>0</v>
      </c>
      <c r="AI37" s="114">
        <v>0</v>
      </c>
      <c r="AJ37" s="110">
        <f t="shared" si="5"/>
        <v>0</v>
      </c>
      <c r="AK37" s="114">
        <v>0.4</v>
      </c>
      <c r="AL37" s="158"/>
      <c r="AM37" s="114">
        <v>0</v>
      </c>
      <c r="AN37" s="114">
        <v>0.2</v>
      </c>
      <c r="AO37" s="114">
        <v>0.4</v>
      </c>
      <c r="AP37" s="158"/>
      <c r="AQ37" s="114">
        <v>0</v>
      </c>
      <c r="AR37" s="114">
        <v>0.2</v>
      </c>
      <c r="AS37" s="12" t="s">
        <v>505</v>
      </c>
      <c r="AT37" s="12"/>
    </row>
    <row r="38" spans="1:46" x14ac:dyDescent="0.45">
      <c r="B38" s="38"/>
      <c r="C38" s="38"/>
      <c r="D38" s="10" t="s">
        <v>372</v>
      </c>
      <c r="E38" s="12" t="s">
        <v>373</v>
      </c>
      <c r="F38" s="111" t="s">
        <v>273</v>
      </c>
      <c r="G38" s="112">
        <v>0</v>
      </c>
      <c r="H38" s="157"/>
      <c r="I38" s="112">
        <v>0</v>
      </c>
      <c r="J38" s="112">
        <v>0</v>
      </c>
      <c r="K38" s="110">
        <f t="shared" si="0"/>
        <v>0</v>
      </c>
      <c r="L38" s="112">
        <v>0</v>
      </c>
      <c r="M38" s="157"/>
      <c r="N38" s="112">
        <v>1</v>
      </c>
      <c r="O38" s="112">
        <v>0</v>
      </c>
      <c r="P38" s="110">
        <f t="shared" si="1"/>
        <v>1</v>
      </c>
      <c r="Q38" s="112">
        <v>0</v>
      </c>
      <c r="R38" s="157"/>
      <c r="S38" s="112">
        <v>0</v>
      </c>
      <c r="T38" s="112">
        <v>0</v>
      </c>
      <c r="U38" s="110">
        <f t="shared" si="2"/>
        <v>0</v>
      </c>
      <c r="V38" s="112">
        <v>0</v>
      </c>
      <c r="W38" s="157"/>
      <c r="X38" s="112">
        <v>1</v>
      </c>
      <c r="Y38" s="112">
        <v>0</v>
      </c>
      <c r="Z38" s="110">
        <f t="shared" si="3"/>
        <v>1</v>
      </c>
      <c r="AA38" s="112">
        <v>0</v>
      </c>
      <c r="AB38" s="157"/>
      <c r="AC38" s="112">
        <v>0</v>
      </c>
      <c r="AD38" s="112">
        <v>0</v>
      </c>
      <c r="AE38" s="110">
        <f t="shared" si="4"/>
        <v>0</v>
      </c>
      <c r="AF38" s="114">
        <v>0</v>
      </c>
      <c r="AG38" s="158"/>
      <c r="AH38" s="114">
        <v>0</v>
      </c>
      <c r="AI38" s="114">
        <v>0</v>
      </c>
      <c r="AJ38" s="110">
        <f t="shared" si="5"/>
        <v>0</v>
      </c>
      <c r="AK38" s="114">
        <v>0</v>
      </c>
      <c r="AL38" s="158"/>
      <c r="AM38" s="114">
        <v>0.37480000000000002</v>
      </c>
      <c r="AN38" s="114">
        <v>0</v>
      </c>
      <c r="AO38" s="114">
        <v>0</v>
      </c>
      <c r="AP38" s="158"/>
      <c r="AQ38" s="114">
        <v>0.36700000000000005</v>
      </c>
      <c r="AR38" s="114">
        <v>0</v>
      </c>
      <c r="AS38" s="12" t="s">
        <v>505</v>
      </c>
      <c r="AT38" s="12"/>
    </row>
    <row r="39" spans="1:46" s="198" customFormat="1" x14ac:dyDescent="0.45">
      <c r="B39" s="38"/>
      <c r="C39" s="38" t="s">
        <v>374</v>
      </c>
      <c r="D39" s="10" t="s">
        <v>375</v>
      </c>
      <c r="E39" s="12" t="s">
        <v>464</v>
      </c>
      <c r="F39" s="111" t="s">
        <v>273</v>
      </c>
      <c r="G39" s="112">
        <v>0</v>
      </c>
      <c r="H39" s="157"/>
      <c r="I39" s="112">
        <v>0</v>
      </c>
      <c r="J39" s="112">
        <v>0</v>
      </c>
      <c r="K39" s="110">
        <f t="shared" si="0"/>
        <v>0</v>
      </c>
      <c r="L39" s="112">
        <v>0</v>
      </c>
      <c r="M39" s="157"/>
      <c r="N39" s="112">
        <v>0</v>
      </c>
      <c r="O39" s="112">
        <v>0</v>
      </c>
      <c r="P39" s="110">
        <f t="shared" si="1"/>
        <v>0</v>
      </c>
      <c r="Q39" s="112">
        <v>0</v>
      </c>
      <c r="R39" s="157"/>
      <c r="S39" s="112">
        <v>0</v>
      </c>
      <c r="T39" s="112">
        <v>0</v>
      </c>
      <c r="U39" s="110">
        <f t="shared" si="2"/>
        <v>0</v>
      </c>
      <c r="V39" s="112">
        <v>0</v>
      </c>
      <c r="W39" s="157"/>
      <c r="X39" s="112">
        <v>0</v>
      </c>
      <c r="Y39" s="112">
        <v>0</v>
      </c>
      <c r="Z39" s="110">
        <f t="shared" si="3"/>
        <v>0</v>
      </c>
      <c r="AA39" s="112">
        <v>0</v>
      </c>
      <c r="AB39" s="157"/>
      <c r="AC39" s="112">
        <v>0</v>
      </c>
      <c r="AD39" s="112">
        <v>0</v>
      </c>
      <c r="AE39" s="110">
        <f t="shared" si="4"/>
        <v>0</v>
      </c>
      <c r="AF39" s="114">
        <v>0</v>
      </c>
      <c r="AG39" s="158"/>
      <c r="AH39" s="114">
        <v>0</v>
      </c>
      <c r="AI39" s="114">
        <v>0</v>
      </c>
      <c r="AJ39" s="110">
        <f t="shared" si="5"/>
        <v>0</v>
      </c>
      <c r="AK39" s="114">
        <v>0</v>
      </c>
      <c r="AL39" s="158"/>
      <c r="AM39" s="114">
        <v>0</v>
      </c>
      <c r="AN39" s="114">
        <v>0</v>
      </c>
      <c r="AO39" s="114">
        <v>0</v>
      </c>
      <c r="AP39" s="158"/>
      <c r="AQ39" s="114">
        <v>0</v>
      </c>
      <c r="AR39" s="114">
        <v>0</v>
      </c>
      <c r="AS39" s="12" t="s">
        <v>505</v>
      </c>
      <c r="AT39" s="12"/>
    </row>
    <row r="40" spans="1:46" x14ac:dyDescent="0.45">
      <c r="B40" s="38"/>
      <c r="C40" s="38"/>
      <c r="D40" s="10" t="s">
        <v>377</v>
      </c>
      <c r="E40" s="12" t="s">
        <v>466</v>
      </c>
      <c r="F40" s="111" t="s">
        <v>273</v>
      </c>
      <c r="G40" s="112">
        <v>0</v>
      </c>
      <c r="H40" s="157"/>
      <c r="I40" s="112">
        <v>0</v>
      </c>
      <c r="J40" s="112">
        <v>0</v>
      </c>
      <c r="K40" s="110">
        <f t="shared" si="0"/>
        <v>0</v>
      </c>
      <c r="L40" s="112">
        <v>0</v>
      </c>
      <c r="M40" s="157"/>
      <c r="N40" s="112">
        <v>0</v>
      </c>
      <c r="O40" s="112">
        <v>0</v>
      </c>
      <c r="P40" s="110">
        <f t="shared" si="1"/>
        <v>0</v>
      </c>
      <c r="Q40" s="112">
        <v>0</v>
      </c>
      <c r="R40" s="157"/>
      <c r="S40" s="112">
        <v>0</v>
      </c>
      <c r="T40" s="112">
        <v>0</v>
      </c>
      <c r="U40" s="110">
        <f t="shared" si="2"/>
        <v>0</v>
      </c>
      <c r="V40" s="112">
        <v>0</v>
      </c>
      <c r="W40" s="157"/>
      <c r="X40" s="112">
        <v>0</v>
      </c>
      <c r="Y40" s="112">
        <v>0</v>
      </c>
      <c r="Z40" s="110">
        <f t="shared" si="3"/>
        <v>0</v>
      </c>
      <c r="AA40" s="112">
        <v>0</v>
      </c>
      <c r="AB40" s="157"/>
      <c r="AC40" s="112">
        <v>0</v>
      </c>
      <c r="AD40" s="112">
        <v>0</v>
      </c>
      <c r="AE40" s="110">
        <f t="shared" si="4"/>
        <v>0</v>
      </c>
      <c r="AF40" s="114">
        <v>0</v>
      </c>
      <c r="AG40" s="158"/>
      <c r="AH40" s="114">
        <v>0</v>
      </c>
      <c r="AI40" s="114">
        <v>0</v>
      </c>
      <c r="AJ40" s="110">
        <f t="shared" si="5"/>
        <v>0</v>
      </c>
      <c r="AK40" s="114">
        <v>0</v>
      </c>
      <c r="AL40" s="158"/>
      <c r="AM40" s="114">
        <v>0</v>
      </c>
      <c r="AN40" s="114">
        <v>0</v>
      </c>
      <c r="AO40" s="114">
        <v>0</v>
      </c>
      <c r="AP40" s="158"/>
      <c r="AQ40" s="114">
        <v>0</v>
      </c>
      <c r="AR40" s="114">
        <v>0</v>
      </c>
      <c r="AS40" s="12" t="s">
        <v>505</v>
      </c>
      <c r="AT40" s="12"/>
    </row>
    <row r="41" spans="1:46" x14ac:dyDescent="0.45">
      <c r="B41" s="38"/>
      <c r="C41" s="38"/>
      <c r="D41" s="10" t="s">
        <v>379</v>
      </c>
      <c r="E41" s="12" t="s">
        <v>468</v>
      </c>
      <c r="F41" s="111" t="s">
        <v>273</v>
      </c>
      <c r="G41" s="112">
        <v>0</v>
      </c>
      <c r="H41" s="157"/>
      <c r="I41" s="112">
        <v>0</v>
      </c>
      <c r="J41" s="112">
        <v>0</v>
      </c>
      <c r="K41" s="110">
        <f t="shared" si="0"/>
        <v>0</v>
      </c>
      <c r="L41" s="112">
        <v>0</v>
      </c>
      <c r="M41" s="157"/>
      <c r="N41" s="112">
        <v>0</v>
      </c>
      <c r="O41" s="112">
        <v>0</v>
      </c>
      <c r="P41" s="110">
        <f t="shared" si="1"/>
        <v>0</v>
      </c>
      <c r="Q41" s="112">
        <v>0</v>
      </c>
      <c r="R41" s="157"/>
      <c r="S41" s="112">
        <v>0</v>
      </c>
      <c r="T41" s="112">
        <v>0</v>
      </c>
      <c r="U41" s="110">
        <f t="shared" si="2"/>
        <v>0</v>
      </c>
      <c r="V41" s="112">
        <v>0</v>
      </c>
      <c r="W41" s="157"/>
      <c r="X41" s="112">
        <v>0</v>
      </c>
      <c r="Y41" s="112">
        <v>0</v>
      </c>
      <c r="Z41" s="110">
        <f t="shared" si="3"/>
        <v>0</v>
      </c>
      <c r="AA41" s="112">
        <v>0</v>
      </c>
      <c r="AB41" s="157"/>
      <c r="AC41" s="112">
        <v>0</v>
      </c>
      <c r="AD41" s="112">
        <v>0</v>
      </c>
      <c r="AE41" s="110">
        <f t="shared" si="4"/>
        <v>0</v>
      </c>
      <c r="AF41" s="114">
        <v>0</v>
      </c>
      <c r="AG41" s="158"/>
      <c r="AH41" s="114">
        <v>0</v>
      </c>
      <c r="AI41" s="114">
        <v>0</v>
      </c>
      <c r="AJ41" s="110">
        <f t="shared" si="5"/>
        <v>0</v>
      </c>
      <c r="AK41" s="114">
        <v>0</v>
      </c>
      <c r="AL41" s="158"/>
      <c r="AM41" s="114">
        <v>0</v>
      </c>
      <c r="AN41" s="114">
        <v>0</v>
      </c>
      <c r="AO41" s="114">
        <v>0</v>
      </c>
      <c r="AP41" s="158"/>
      <c r="AQ41" s="114">
        <v>0</v>
      </c>
      <c r="AR41" s="114">
        <v>0</v>
      </c>
      <c r="AS41" s="12" t="s">
        <v>505</v>
      </c>
      <c r="AT41" s="12"/>
    </row>
    <row r="42" spans="1:46" x14ac:dyDescent="0.45">
      <c r="B42" s="38"/>
      <c r="C42" s="38"/>
      <c r="D42" s="10" t="s">
        <v>381</v>
      </c>
      <c r="E42" s="12" t="s">
        <v>384</v>
      </c>
      <c r="F42" s="111" t="s">
        <v>273</v>
      </c>
      <c r="G42" s="112">
        <v>0</v>
      </c>
      <c r="H42" s="157"/>
      <c r="I42" s="112">
        <v>0</v>
      </c>
      <c r="J42" s="112">
        <v>0</v>
      </c>
      <c r="K42" s="110">
        <f t="shared" si="0"/>
        <v>0</v>
      </c>
      <c r="L42" s="112">
        <v>0</v>
      </c>
      <c r="M42" s="157"/>
      <c r="N42" s="112">
        <v>0</v>
      </c>
      <c r="O42" s="112">
        <v>0</v>
      </c>
      <c r="P42" s="110">
        <f t="shared" si="1"/>
        <v>0</v>
      </c>
      <c r="Q42" s="112">
        <v>0</v>
      </c>
      <c r="R42" s="157"/>
      <c r="S42" s="112">
        <v>0</v>
      </c>
      <c r="T42" s="112">
        <v>0</v>
      </c>
      <c r="U42" s="110">
        <f t="shared" si="2"/>
        <v>0</v>
      </c>
      <c r="V42" s="112">
        <v>0</v>
      </c>
      <c r="W42" s="157"/>
      <c r="X42" s="112">
        <v>0</v>
      </c>
      <c r="Y42" s="112">
        <v>0</v>
      </c>
      <c r="Z42" s="110">
        <f t="shared" si="3"/>
        <v>0</v>
      </c>
      <c r="AA42" s="112">
        <v>0</v>
      </c>
      <c r="AB42" s="157"/>
      <c r="AC42" s="112">
        <v>0</v>
      </c>
      <c r="AD42" s="112">
        <v>0</v>
      </c>
      <c r="AE42" s="110">
        <f t="shared" si="4"/>
        <v>0</v>
      </c>
      <c r="AF42" s="114">
        <v>0</v>
      </c>
      <c r="AG42" s="158"/>
      <c r="AH42" s="114">
        <v>0</v>
      </c>
      <c r="AI42" s="114">
        <v>0</v>
      </c>
      <c r="AJ42" s="110">
        <f t="shared" si="5"/>
        <v>0</v>
      </c>
      <c r="AK42" s="114">
        <v>0</v>
      </c>
      <c r="AL42" s="158"/>
      <c r="AM42" s="114">
        <v>0</v>
      </c>
      <c r="AN42" s="114">
        <v>0</v>
      </c>
      <c r="AO42" s="114">
        <v>0</v>
      </c>
      <c r="AP42" s="158"/>
      <c r="AQ42" s="114">
        <v>0</v>
      </c>
      <c r="AR42" s="114">
        <v>0</v>
      </c>
      <c r="AS42" s="12" t="s">
        <v>505</v>
      </c>
      <c r="AT42" s="12"/>
    </row>
    <row r="43" spans="1:46" x14ac:dyDescent="0.45">
      <c r="B43" s="38"/>
      <c r="C43" s="38"/>
      <c r="D43" s="10" t="s">
        <v>383</v>
      </c>
      <c r="E43" s="12" t="s">
        <v>471</v>
      </c>
      <c r="F43" s="111" t="s">
        <v>273</v>
      </c>
      <c r="G43" s="112">
        <v>0</v>
      </c>
      <c r="H43" s="157"/>
      <c r="I43" s="112">
        <v>0</v>
      </c>
      <c r="J43" s="112">
        <v>0</v>
      </c>
      <c r="K43" s="110">
        <f t="shared" si="0"/>
        <v>0</v>
      </c>
      <c r="L43" s="112">
        <v>0</v>
      </c>
      <c r="M43" s="157"/>
      <c r="N43" s="112">
        <v>0</v>
      </c>
      <c r="O43" s="112">
        <v>0</v>
      </c>
      <c r="P43" s="110">
        <f t="shared" si="1"/>
        <v>0</v>
      </c>
      <c r="Q43" s="112">
        <v>0</v>
      </c>
      <c r="R43" s="157"/>
      <c r="S43" s="112">
        <v>0</v>
      </c>
      <c r="T43" s="112">
        <v>0</v>
      </c>
      <c r="U43" s="110">
        <f t="shared" si="2"/>
        <v>0</v>
      </c>
      <c r="V43" s="112">
        <v>0</v>
      </c>
      <c r="W43" s="157"/>
      <c r="X43" s="112">
        <v>0</v>
      </c>
      <c r="Y43" s="112">
        <v>0</v>
      </c>
      <c r="Z43" s="110">
        <f t="shared" si="3"/>
        <v>0</v>
      </c>
      <c r="AA43" s="112">
        <v>0</v>
      </c>
      <c r="AB43" s="157"/>
      <c r="AC43" s="112">
        <v>0</v>
      </c>
      <c r="AD43" s="112">
        <v>0</v>
      </c>
      <c r="AE43" s="110">
        <f t="shared" si="4"/>
        <v>0</v>
      </c>
      <c r="AF43" s="114">
        <v>0</v>
      </c>
      <c r="AG43" s="158"/>
      <c r="AH43" s="114">
        <v>0</v>
      </c>
      <c r="AI43" s="114">
        <v>0</v>
      </c>
      <c r="AJ43" s="110">
        <f t="shared" si="5"/>
        <v>0</v>
      </c>
      <c r="AK43" s="114">
        <v>0</v>
      </c>
      <c r="AL43" s="158"/>
      <c r="AM43" s="114">
        <v>0</v>
      </c>
      <c r="AN43" s="114">
        <v>0</v>
      </c>
      <c r="AO43" s="114">
        <v>0</v>
      </c>
      <c r="AP43" s="158"/>
      <c r="AQ43" s="114">
        <v>0</v>
      </c>
      <c r="AR43" s="114">
        <v>0</v>
      </c>
      <c r="AS43" s="12" t="s">
        <v>505</v>
      </c>
      <c r="AT43" s="12"/>
    </row>
    <row r="44" spans="1:46" x14ac:dyDescent="0.45">
      <c r="B44" s="38"/>
      <c r="C44" s="38"/>
      <c r="D44" s="10" t="s">
        <v>385</v>
      </c>
      <c r="E44" s="12" t="s">
        <v>473</v>
      </c>
      <c r="F44" s="111" t="s">
        <v>273</v>
      </c>
      <c r="G44" s="112">
        <v>0</v>
      </c>
      <c r="H44" s="157"/>
      <c r="I44" s="112">
        <v>0</v>
      </c>
      <c r="J44" s="112">
        <v>0</v>
      </c>
      <c r="K44" s="110">
        <f t="shared" si="0"/>
        <v>0</v>
      </c>
      <c r="L44" s="112">
        <v>0</v>
      </c>
      <c r="M44" s="157"/>
      <c r="N44" s="112">
        <v>0</v>
      </c>
      <c r="O44" s="112">
        <v>0</v>
      </c>
      <c r="P44" s="110">
        <f t="shared" si="1"/>
        <v>0</v>
      </c>
      <c r="Q44" s="112">
        <v>0</v>
      </c>
      <c r="R44" s="157"/>
      <c r="S44" s="112">
        <v>0</v>
      </c>
      <c r="T44" s="112">
        <v>0</v>
      </c>
      <c r="U44" s="110">
        <f t="shared" si="2"/>
        <v>0</v>
      </c>
      <c r="V44" s="112">
        <v>0</v>
      </c>
      <c r="W44" s="157"/>
      <c r="X44" s="112">
        <v>0</v>
      </c>
      <c r="Y44" s="112">
        <v>0</v>
      </c>
      <c r="Z44" s="110">
        <f t="shared" si="3"/>
        <v>0</v>
      </c>
      <c r="AA44" s="112">
        <v>0</v>
      </c>
      <c r="AB44" s="157"/>
      <c r="AC44" s="112">
        <v>0</v>
      </c>
      <c r="AD44" s="112">
        <v>0</v>
      </c>
      <c r="AE44" s="110">
        <f t="shared" si="4"/>
        <v>0</v>
      </c>
      <c r="AF44" s="114">
        <v>0</v>
      </c>
      <c r="AG44" s="158"/>
      <c r="AH44" s="114">
        <v>0</v>
      </c>
      <c r="AI44" s="114">
        <v>0</v>
      </c>
      <c r="AJ44" s="110">
        <f t="shared" si="5"/>
        <v>0</v>
      </c>
      <c r="AK44" s="114">
        <v>0</v>
      </c>
      <c r="AL44" s="158"/>
      <c r="AM44" s="114">
        <v>0</v>
      </c>
      <c r="AN44" s="114">
        <v>0</v>
      </c>
      <c r="AO44" s="114">
        <v>0</v>
      </c>
      <c r="AP44" s="158"/>
      <c r="AQ44" s="114">
        <v>0</v>
      </c>
      <c r="AR44" s="114">
        <v>0</v>
      </c>
      <c r="AS44" s="12" t="s">
        <v>505</v>
      </c>
      <c r="AT44" s="12"/>
    </row>
    <row r="45" spans="1:46" x14ac:dyDescent="0.45">
      <c r="B45" s="38"/>
      <c r="C45" s="38"/>
      <c r="D45" s="10" t="s">
        <v>387</v>
      </c>
      <c r="E45" s="12" t="s">
        <v>475</v>
      </c>
      <c r="F45" s="111" t="s">
        <v>184</v>
      </c>
      <c r="G45" s="112">
        <v>0</v>
      </c>
      <c r="H45" s="157"/>
      <c r="I45" s="112">
        <v>0</v>
      </c>
      <c r="J45" s="112">
        <v>0</v>
      </c>
      <c r="K45" s="110">
        <f t="shared" si="0"/>
        <v>0</v>
      </c>
      <c r="L45" s="112">
        <v>0</v>
      </c>
      <c r="M45" s="157"/>
      <c r="N45" s="112">
        <v>0</v>
      </c>
      <c r="O45" s="112">
        <v>0</v>
      </c>
      <c r="P45" s="110">
        <f t="shared" si="1"/>
        <v>0</v>
      </c>
      <c r="Q45" s="112">
        <v>0</v>
      </c>
      <c r="R45" s="157"/>
      <c r="S45" s="112">
        <v>0</v>
      </c>
      <c r="T45" s="112">
        <v>0</v>
      </c>
      <c r="U45" s="110">
        <f t="shared" si="2"/>
        <v>0</v>
      </c>
      <c r="V45" s="112">
        <v>0</v>
      </c>
      <c r="W45" s="157"/>
      <c r="X45" s="112">
        <v>0</v>
      </c>
      <c r="Y45" s="112">
        <v>0</v>
      </c>
      <c r="Z45" s="110">
        <f t="shared" si="3"/>
        <v>0</v>
      </c>
      <c r="AA45" s="112">
        <v>0</v>
      </c>
      <c r="AB45" s="157"/>
      <c r="AC45" s="112">
        <v>0</v>
      </c>
      <c r="AD45" s="112">
        <v>0</v>
      </c>
      <c r="AE45" s="110">
        <f t="shared" si="4"/>
        <v>0</v>
      </c>
      <c r="AF45" s="114">
        <v>0</v>
      </c>
      <c r="AG45" s="158"/>
      <c r="AH45" s="114">
        <v>0</v>
      </c>
      <c r="AI45" s="114">
        <v>0</v>
      </c>
      <c r="AJ45" s="110">
        <f t="shared" si="5"/>
        <v>0</v>
      </c>
      <c r="AK45" s="114">
        <v>0</v>
      </c>
      <c r="AL45" s="158"/>
      <c r="AM45" s="114">
        <v>0</v>
      </c>
      <c r="AN45" s="114">
        <v>0</v>
      </c>
      <c r="AO45" s="114">
        <v>0</v>
      </c>
      <c r="AP45" s="158"/>
      <c r="AQ45" s="114">
        <v>0</v>
      </c>
      <c r="AR45" s="114">
        <v>0</v>
      </c>
      <c r="AS45" s="12" t="s">
        <v>505</v>
      </c>
      <c r="AT45" s="12"/>
    </row>
    <row r="46" spans="1:46" x14ac:dyDescent="0.45">
      <c r="B46" s="38"/>
      <c r="C46" s="38"/>
      <c r="D46" s="10" t="s">
        <v>389</v>
      </c>
      <c r="E46" s="12" t="s">
        <v>380</v>
      </c>
      <c r="F46" s="111" t="s">
        <v>273</v>
      </c>
      <c r="G46" s="112">
        <v>0</v>
      </c>
      <c r="H46" s="157"/>
      <c r="I46" s="112">
        <v>0</v>
      </c>
      <c r="J46" s="112">
        <v>0</v>
      </c>
      <c r="K46" s="110">
        <f t="shared" si="0"/>
        <v>0</v>
      </c>
      <c r="L46" s="112">
        <v>0</v>
      </c>
      <c r="M46" s="157"/>
      <c r="N46" s="112">
        <v>0</v>
      </c>
      <c r="O46" s="112">
        <v>0</v>
      </c>
      <c r="P46" s="110">
        <f t="shared" si="1"/>
        <v>0</v>
      </c>
      <c r="Q46" s="112">
        <v>0</v>
      </c>
      <c r="R46" s="157"/>
      <c r="S46" s="112">
        <v>0</v>
      </c>
      <c r="T46" s="112">
        <v>0</v>
      </c>
      <c r="U46" s="110">
        <f t="shared" si="2"/>
        <v>0</v>
      </c>
      <c r="V46" s="112">
        <v>0</v>
      </c>
      <c r="W46" s="157"/>
      <c r="X46" s="112">
        <v>0</v>
      </c>
      <c r="Y46" s="112">
        <v>0</v>
      </c>
      <c r="Z46" s="110">
        <f t="shared" si="3"/>
        <v>0</v>
      </c>
      <c r="AA46" s="112">
        <v>0</v>
      </c>
      <c r="AB46" s="157"/>
      <c r="AC46" s="112">
        <v>0</v>
      </c>
      <c r="AD46" s="112">
        <v>0</v>
      </c>
      <c r="AE46" s="110">
        <f t="shared" si="4"/>
        <v>0</v>
      </c>
      <c r="AF46" s="114">
        <v>0</v>
      </c>
      <c r="AG46" s="158"/>
      <c r="AH46" s="114">
        <v>0</v>
      </c>
      <c r="AI46" s="114">
        <v>0</v>
      </c>
      <c r="AJ46" s="110">
        <f t="shared" si="5"/>
        <v>0</v>
      </c>
      <c r="AK46" s="114">
        <v>0</v>
      </c>
      <c r="AL46" s="158"/>
      <c r="AM46" s="114">
        <v>0</v>
      </c>
      <c r="AN46" s="114">
        <v>0</v>
      </c>
      <c r="AO46" s="114">
        <v>0</v>
      </c>
      <c r="AP46" s="158"/>
      <c r="AQ46" s="114">
        <v>0</v>
      </c>
      <c r="AR46" s="114">
        <v>0</v>
      </c>
      <c r="AS46" s="12" t="s">
        <v>505</v>
      </c>
      <c r="AT46" s="12"/>
    </row>
    <row r="47" spans="1:46" x14ac:dyDescent="0.45">
      <c r="B47" s="38"/>
      <c r="C47" s="38"/>
      <c r="D47" s="10" t="s">
        <v>595</v>
      </c>
      <c r="E47" s="12" t="s">
        <v>478</v>
      </c>
      <c r="F47" s="111" t="s">
        <v>184</v>
      </c>
      <c r="G47" s="112">
        <v>0</v>
      </c>
      <c r="H47" s="157"/>
      <c r="I47" s="112">
        <v>0</v>
      </c>
      <c r="J47" s="112">
        <v>0</v>
      </c>
      <c r="K47" s="110">
        <f t="shared" si="0"/>
        <v>0</v>
      </c>
      <c r="L47" s="112">
        <v>0</v>
      </c>
      <c r="M47" s="157"/>
      <c r="N47" s="112">
        <v>0</v>
      </c>
      <c r="O47" s="112">
        <v>0</v>
      </c>
      <c r="P47" s="110">
        <f t="shared" si="1"/>
        <v>0</v>
      </c>
      <c r="Q47" s="112">
        <v>0</v>
      </c>
      <c r="R47" s="157"/>
      <c r="S47" s="112">
        <v>0</v>
      </c>
      <c r="T47" s="112">
        <v>0</v>
      </c>
      <c r="U47" s="110">
        <f t="shared" si="2"/>
        <v>0</v>
      </c>
      <c r="V47" s="112">
        <v>0</v>
      </c>
      <c r="W47" s="157"/>
      <c r="X47" s="112">
        <v>0</v>
      </c>
      <c r="Y47" s="112">
        <v>0</v>
      </c>
      <c r="Z47" s="110">
        <f t="shared" si="3"/>
        <v>0</v>
      </c>
      <c r="AA47" s="112">
        <v>0</v>
      </c>
      <c r="AB47" s="157"/>
      <c r="AC47" s="112">
        <v>0</v>
      </c>
      <c r="AD47" s="112">
        <v>0</v>
      </c>
      <c r="AE47" s="110">
        <f t="shared" si="4"/>
        <v>0</v>
      </c>
      <c r="AF47" s="114">
        <v>0</v>
      </c>
      <c r="AG47" s="158"/>
      <c r="AH47" s="114">
        <v>0</v>
      </c>
      <c r="AI47" s="114">
        <v>0</v>
      </c>
      <c r="AJ47" s="110">
        <f t="shared" si="5"/>
        <v>0</v>
      </c>
      <c r="AK47" s="114">
        <v>0</v>
      </c>
      <c r="AL47" s="158"/>
      <c r="AM47" s="114">
        <v>0</v>
      </c>
      <c r="AN47" s="114">
        <v>0</v>
      </c>
      <c r="AO47" s="114">
        <v>0</v>
      </c>
      <c r="AP47" s="158"/>
      <c r="AQ47" s="114">
        <v>0</v>
      </c>
      <c r="AR47" s="114">
        <v>0</v>
      </c>
      <c r="AS47" s="12" t="s">
        <v>505</v>
      </c>
      <c r="AT47" s="12"/>
    </row>
    <row r="48" spans="1:46" x14ac:dyDescent="0.45">
      <c r="B48" s="38"/>
      <c r="C48" s="38"/>
      <c r="D48" s="10" t="s">
        <v>596</v>
      </c>
      <c r="E48" s="12" t="s">
        <v>480</v>
      </c>
      <c r="F48" s="111" t="s">
        <v>184</v>
      </c>
      <c r="G48" s="112">
        <v>0</v>
      </c>
      <c r="H48" s="157"/>
      <c r="I48" s="112">
        <v>0</v>
      </c>
      <c r="J48" s="112">
        <v>0</v>
      </c>
      <c r="K48" s="110">
        <f t="shared" si="0"/>
        <v>0</v>
      </c>
      <c r="L48" s="112">
        <v>0</v>
      </c>
      <c r="M48" s="157"/>
      <c r="N48" s="112">
        <v>0</v>
      </c>
      <c r="O48" s="112">
        <v>0</v>
      </c>
      <c r="P48" s="110">
        <f t="shared" si="1"/>
        <v>0</v>
      </c>
      <c r="Q48" s="112">
        <v>0</v>
      </c>
      <c r="R48" s="157"/>
      <c r="S48" s="112">
        <v>0</v>
      </c>
      <c r="T48" s="112">
        <v>0</v>
      </c>
      <c r="U48" s="110">
        <f t="shared" si="2"/>
        <v>0</v>
      </c>
      <c r="V48" s="112">
        <v>0</v>
      </c>
      <c r="W48" s="157"/>
      <c r="X48" s="112">
        <v>0</v>
      </c>
      <c r="Y48" s="112">
        <v>0</v>
      </c>
      <c r="Z48" s="110">
        <f t="shared" si="3"/>
        <v>0</v>
      </c>
      <c r="AA48" s="112">
        <v>0</v>
      </c>
      <c r="AB48" s="157"/>
      <c r="AC48" s="112">
        <v>0</v>
      </c>
      <c r="AD48" s="112">
        <v>0</v>
      </c>
      <c r="AE48" s="110">
        <f t="shared" si="4"/>
        <v>0</v>
      </c>
      <c r="AF48" s="114">
        <v>0</v>
      </c>
      <c r="AG48" s="158"/>
      <c r="AH48" s="114">
        <v>0</v>
      </c>
      <c r="AI48" s="114">
        <v>0</v>
      </c>
      <c r="AJ48" s="110">
        <f t="shared" si="5"/>
        <v>0</v>
      </c>
      <c r="AK48" s="114">
        <v>0</v>
      </c>
      <c r="AL48" s="158"/>
      <c r="AM48" s="114">
        <v>0</v>
      </c>
      <c r="AN48" s="114">
        <v>0</v>
      </c>
      <c r="AO48" s="114">
        <v>0</v>
      </c>
      <c r="AP48" s="158"/>
      <c r="AQ48" s="114">
        <v>0</v>
      </c>
      <c r="AR48" s="114">
        <v>0</v>
      </c>
      <c r="AS48" s="12" t="s">
        <v>505</v>
      </c>
      <c r="AT48" s="12"/>
    </row>
    <row r="49" spans="1:46" x14ac:dyDescent="0.45">
      <c r="B49" s="38"/>
      <c r="C49" s="38"/>
      <c r="D49" s="10" t="s">
        <v>597</v>
      </c>
      <c r="E49" s="12" t="s">
        <v>482</v>
      </c>
      <c r="F49" s="111" t="s">
        <v>273</v>
      </c>
      <c r="G49" s="112">
        <v>0</v>
      </c>
      <c r="H49" s="157"/>
      <c r="I49" s="112">
        <v>0</v>
      </c>
      <c r="J49" s="112">
        <v>0</v>
      </c>
      <c r="K49" s="110">
        <f t="shared" si="0"/>
        <v>0</v>
      </c>
      <c r="L49" s="112">
        <v>0</v>
      </c>
      <c r="M49" s="157"/>
      <c r="N49" s="112">
        <v>0</v>
      </c>
      <c r="O49" s="112">
        <v>0</v>
      </c>
      <c r="P49" s="110">
        <f t="shared" si="1"/>
        <v>0</v>
      </c>
      <c r="Q49" s="112">
        <v>0</v>
      </c>
      <c r="R49" s="157"/>
      <c r="S49" s="112">
        <v>0</v>
      </c>
      <c r="T49" s="112">
        <v>0</v>
      </c>
      <c r="U49" s="110">
        <f t="shared" si="2"/>
        <v>0</v>
      </c>
      <c r="V49" s="112">
        <v>0</v>
      </c>
      <c r="W49" s="157"/>
      <c r="X49" s="112">
        <v>0</v>
      </c>
      <c r="Y49" s="112">
        <v>0</v>
      </c>
      <c r="Z49" s="110">
        <f t="shared" si="3"/>
        <v>0</v>
      </c>
      <c r="AA49" s="112">
        <v>0</v>
      </c>
      <c r="AB49" s="157"/>
      <c r="AC49" s="112">
        <v>0</v>
      </c>
      <c r="AD49" s="112">
        <v>0</v>
      </c>
      <c r="AE49" s="110">
        <f t="shared" si="4"/>
        <v>0</v>
      </c>
      <c r="AF49" s="114">
        <v>0</v>
      </c>
      <c r="AG49" s="158"/>
      <c r="AH49" s="114">
        <v>0</v>
      </c>
      <c r="AI49" s="114">
        <v>0</v>
      </c>
      <c r="AJ49" s="110">
        <f t="shared" si="5"/>
        <v>0</v>
      </c>
      <c r="AK49" s="114">
        <v>0</v>
      </c>
      <c r="AL49" s="158"/>
      <c r="AM49" s="114">
        <v>0</v>
      </c>
      <c r="AN49" s="114">
        <v>0</v>
      </c>
      <c r="AO49" s="114">
        <v>0</v>
      </c>
      <c r="AP49" s="158"/>
      <c r="AQ49" s="114">
        <v>0</v>
      </c>
      <c r="AR49" s="114">
        <v>0</v>
      </c>
      <c r="AS49" s="12" t="s">
        <v>505</v>
      </c>
      <c r="AT49" s="12"/>
    </row>
    <row r="50" spans="1:46" x14ac:dyDescent="0.45">
      <c r="B50" s="38"/>
      <c r="C50" s="38"/>
      <c r="D50" s="10" t="s">
        <v>598</v>
      </c>
      <c r="E50" s="12" t="s">
        <v>484</v>
      </c>
      <c r="F50" s="111" t="s">
        <v>184</v>
      </c>
      <c r="G50" s="112">
        <v>0</v>
      </c>
      <c r="H50" s="157"/>
      <c r="I50" s="112">
        <v>0</v>
      </c>
      <c r="J50" s="112">
        <v>0</v>
      </c>
      <c r="K50" s="110">
        <f t="shared" si="0"/>
        <v>0</v>
      </c>
      <c r="L50" s="112">
        <v>0</v>
      </c>
      <c r="M50" s="157"/>
      <c r="N50" s="112">
        <v>0</v>
      </c>
      <c r="O50" s="112">
        <v>0</v>
      </c>
      <c r="P50" s="110">
        <f t="shared" si="1"/>
        <v>0</v>
      </c>
      <c r="Q50" s="112">
        <v>0</v>
      </c>
      <c r="R50" s="157"/>
      <c r="S50" s="112">
        <v>0</v>
      </c>
      <c r="T50" s="112">
        <v>0</v>
      </c>
      <c r="U50" s="110">
        <f t="shared" si="2"/>
        <v>0</v>
      </c>
      <c r="V50" s="112">
        <v>0</v>
      </c>
      <c r="W50" s="157"/>
      <c r="X50" s="112">
        <v>0</v>
      </c>
      <c r="Y50" s="112">
        <v>0</v>
      </c>
      <c r="Z50" s="110">
        <f t="shared" si="3"/>
        <v>0</v>
      </c>
      <c r="AA50" s="112">
        <v>0</v>
      </c>
      <c r="AB50" s="157"/>
      <c r="AC50" s="112">
        <v>0</v>
      </c>
      <c r="AD50" s="112">
        <v>0</v>
      </c>
      <c r="AE50" s="110">
        <f t="shared" si="4"/>
        <v>0</v>
      </c>
      <c r="AF50" s="114">
        <v>0</v>
      </c>
      <c r="AG50" s="158"/>
      <c r="AH50" s="114">
        <v>0</v>
      </c>
      <c r="AI50" s="114">
        <v>0</v>
      </c>
      <c r="AJ50" s="110">
        <f t="shared" si="5"/>
        <v>0</v>
      </c>
      <c r="AK50" s="114">
        <v>0</v>
      </c>
      <c r="AL50" s="158"/>
      <c r="AM50" s="114">
        <v>0</v>
      </c>
      <c r="AN50" s="114">
        <v>0</v>
      </c>
      <c r="AO50" s="114">
        <v>0</v>
      </c>
      <c r="AP50" s="158"/>
      <c r="AQ50" s="114">
        <v>0</v>
      </c>
      <c r="AR50" s="114">
        <v>0</v>
      </c>
      <c r="AS50" s="12" t="s">
        <v>505</v>
      </c>
      <c r="AT50" s="12"/>
    </row>
    <row r="51" spans="1:46" x14ac:dyDescent="0.45">
      <c r="B51" s="38"/>
      <c r="C51" s="38"/>
      <c r="D51" s="10" t="s">
        <v>599</v>
      </c>
      <c r="E51" s="12" t="s">
        <v>486</v>
      </c>
      <c r="F51" s="111" t="s">
        <v>273</v>
      </c>
      <c r="G51" s="112">
        <v>0</v>
      </c>
      <c r="H51" s="157"/>
      <c r="I51" s="112">
        <v>1</v>
      </c>
      <c r="J51" s="112">
        <v>0</v>
      </c>
      <c r="K51" s="110">
        <f t="shared" si="0"/>
        <v>1</v>
      </c>
      <c r="L51" s="112">
        <v>0</v>
      </c>
      <c r="M51" s="157"/>
      <c r="N51" s="112">
        <v>0</v>
      </c>
      <c r="O51" s="112">
        <v>0</v>
      </c>
      <c r="P51" s="110">
        <f t="shared" si="1"/>
        <v>0</v>
      </c>
      <c r="Q51" s="112">
        <v>0</v>
      </c>
      <c r="R51" s="157"/>
      <c r="S51" s="112">
        <v>0</v>
      </c>
      <c r="T51" s="112">
        <v>0</v>
      </c>
      <c r="U51" s="110">
        <f t="shared" si="2"/>
        <v>0</v>
      </c>
      <c r="V51" s="112">
        <v>0</v>
      </c>
      <c r="W51" s="157"/>
      <c r="X51" s="112">
        <v>0</v>
      </c>
      <c r="Y51" s="112">
        <v>0</v>
      </c>
      <c r="Z51" s="110">
        <f t="shared" si="3"/>
        <v>0</v>
      </c>
      <c r="AA51" s="112">
        <v>0</v>
      </c>
      <c r="AB51" s="157"/>
      <c r="AC51" s="112">
        <v>0</v>
      </c>
      <c r="AD51" s="112">
        <v>0</v>
      </c>
      <c r="AE51" s="110">
        <f t="shared" si="4"/>
        <v>0</v>
      </c>
      <c r="AF51" s="114">
        <v>0</v>
      </c>
      <c r="AG51" s="158"/>
      <c r="AH51" s="114">
        <v>0</v>
      </c>
      <c r="AI51" s="114">
        <v>0</v>
      </c>
      <c r="AJ51" s="110">
        <f t="shared" si="5"/>
        <v>0</v>
      </c>
      <c r="AK51" s="114">
        <v>0</v>
      </c>
      <c r="AL51" s="158"/>
      <c r="AM51" s="114">
        <v>0.18740000000000001</v>
      </c>
      <c r="AN51" s="114">
        <v>0</v>
      </c>
      <c r="AO51" s="114">
        <v>0</v>
      </c>
      <c r="AP51" s="158"/>
      <c r="AQ51" s="114">
        <v>0.18350000000000002</v>
      </c>
      <c r="AR51" s="114">
        <v>0</v>
      </c>
      <c r="AS51" s="12" t="s">
        <v>505</v>
      </c>
      <c r="AT51" s="12"/>
    </row>
    <row r="52" spans="1:46" x14ac:dyDescent="0.45">
      <c r="B52" s="38"/>
      <c r="C52" s="38"/>
      <c r="D52" s="10" t="s">
        <v>600</v>
      </c>
      <c r="E52" s="12" t="s">
        <v>488</v>
      </c>
      <c r="F52" s="111" t="s">
        <v>273</v>
      </c>
      <c r="G52" s="112">
        <v>0</v>
      </c>
      <c r="H52" s="157"/>
      <c r="I52" s="112">
        <v>0</v>
      </c>
      <c r="J52" s="112">
        <v>0</v>
      </c>
      <c r="K52" s="110">
        <f t="shared" si="0"/>
        <v>0</v>
      </c>
      <c r="L52" s="112">
        <v>0</v>
      </c>
      <c r="M52" s="157"/>
      <c r="N52" s="112">
        <v>0</v>
      </c>
      <c r="O52" s="112">
        <v>0</v>
      </c>
      <c r="P52" s="110">
        <f t="shared" si="1"/>
        <v>0</v>
      </c>
      <c r="Q52" s="112">
        <v>0</v>
      </c>
      <c r="R52" s="157"/>
      <c r="S52" s="112">
        <v>0</v>
      </c>
      <c r="T52" s="112">
        <v>0</v>
      </c>
      <c r="U52" s="110">
        <f t="shared" si="2"/>
        <v>0</v>
      </c>
      <c r="V52" s="112">
        <v>0</v>
      </c>
      <c r="W52" s="157"/>
      <c r="X52" s="112">
        <v>0</v>
      </c>
      <c r="Y52" s="112">
        <v>0</v>
      </c>
      <c r="Z52" s="110">
        <f t="shared" si="3"/>
        <v>0</v>
      </c>
      <c r="AA52" s="112">
        <v>0</v>
      </c>
      <c r="AB52" s="157"/>
      <c r="AC52" s="112">
        <v>0</v>
      </c>
      <c r="AD52" s="112">
        <v>0</v>
      </c>
      <c r="AE52" s="110">
        <f t="shared" si="4"/>
        <v>0</v>
      </c>
      <c r="AF52" s="114">
        <v>0</v>
      </c>
      <c r="AG52" s="158"/>
      <c r="AH52" s="114">
        <v>0</v>
      </c>
      <c r="AI52" s="114">
        <v>0</v>
      </c>
      <c r="AJ52" s="110">
        <f t="shared" si="5"/>
        <v>0</v>
      </c>
      <c r="AK52" s="114">
        <v>0</v>
      </c>
      <c r="AL52" s="158"/>
      <c r="AM52" s="114">
        <v>0</v>
      </c>
      <c r="AN52" s="114">
        <v>0</v>
      </c>
      <c r="AO52" s="114">
        <v>0</v>
      </c>
      <c r="AP52" s="158"/>
      <c r="AQ52" s="114">
        <v>0</v>
      </c>
      <c r="AR52" s="114">
        <v>0</v>
      </c>
      <c r="AS52" s="12" t="s">
        <v>505</v>
      </c>
      <c r="AT52" s="12"/>
    </row>
    <row r="53" spans="1:46" x14ac:dyDescent="0.45">
      <c r="B53" s="38"/>
      <c r="C53" s="38"/>
      <c r="D53" s="10" t="s">
        <v>601</v>
      </c>
      <c r="E53" s="12" t="s">
        <v>390</v>
      </c>
      <c r="F53" s="111" t="s">
        <v>273</v>
      </c>
      <c r="G53" s="112">
        <v>0</v>
      </c>
      <c r="H53" s="157"/>
      <c r="I53" s="112">
        <v>0</v>
      </c>
      <c r="J53" s="112">
        <v>0</v>
      </c>
      <c r="K53" s="110">
        <f t="shared" si="0"/>
        <v>0</v>
      </c>
      <c r="L53" s="112">
        <v>0</v>
      </c>
      <c r="M53" s="157"/>
      <c r="N53" s="112">
        <v>0</v>
      </c>
      <c r="O53" s="112">
        <v>0</v>
      </c>
      <c r="P53" s="110">
        <f t="shared" si="1"/>
        <v>0</v>
      </c>
      <c r="Q53" s="112">
        <v>0</v>
      </c>
      <c r="R53" s="157"/>
      <c r="S53" s="112">
        <v>0</v>
      </c>
      <c r="T53" s="112">
        <v>0</v>
      </c>
      <c r="U53" s="110">
        <f t="shared" si="2"/>
        <v>0</v>
      </c>
      <c r="V53" s="112">
        <v>0</v>
      </c>
      <c r="W53" s="157"/>
      <c r="X53" s="112">
        <v>0</v>
      </c>
      <c r="Y53" s="112">
        <v>0</v>
      </c>
      <c r="Z53" s="110">
        <f t="shared" si="3"/>
        <v>0</v>
      </c>
      <c r="AA53" s="112">
        <v>0</v>
      </c>
      <c r="AB53" s="157"/>
      <c r="AC53" s="112">
        <v>0</v>
      </c>
      <c r="AD53" s="112">
        <v>0</v>
      </c>
      <c r="AE53" s="110">
        <f t="shared" si="4"/>
        <v>0</v>
      </c>
      <c r="AF53" s="114">
        <v>0</v>
      </c>
      <c r="AG53" s="158"/>
      <c r="AH53" s="114">
        <v>1</v>
      </c>
      <c r="AI53" s="114">
        <v>0</v>
      </c>
      <c r="AJ53" s="110">
        <f t="shared" si="5"/>
        <v>1</v>
      </c>
      <c r="AK53" s="114">
        <v>0</v>
      </c>
      <c r="AL53" s="158"/>
      <c r="AM53" s="114">
        <v>0</v>
      </c>
      <c r="AN53" s="114">
        <v>0</v>
      </c>
      <c r="AO53" s="114">
        <v>0</v>
      </c>
      <c r="AP53" s="158"/>
      <c r="AQ53" s="114">
        <v>0</v>
      </c>
      <c r="AR53" s="114">
        <v>0</v>
      </c>
      <c r="AS53" s="12" t="s">
        <v>505</v>
      </c>
      <c r="AT53" s="12"/>
    </row>
    <row r="54" spans="1:46" x14ac:dyDescent="0.45">
      <c r="B54" s="38"/>
      <c r="C54" s="38" t="s">
        <v>391</v>
      </c>
      <c r="D54" s="10" t="s">
        <v>392</v>
      </c>
      <c r="E54" s="12" t="s">
        <v>393</v>
      </c>
      <c r="F54" s="111" t="s">
        <v>273</v>
      </c>
      <c r="G54" s="112">
        <v>0</v>
      </c>
      <c r="H54" s="157"/>
      <c r="I54" s="112">
        <v>0</v>
      </c>
      <c r="J54" s="112">
        <v>0</v>
      </c>
      <c r="K54" s="110">
        <f t="shared" si="0"/>
        <v>0</v>
      </c>
      <c r="L54" s="112">
        <v>0</v>
      </c>
      <c r="M54" s="157"/>
      <c r="N54" s="112">
        <v>0</v>
      </c>
      <c r="O54" s="112">
        <v>0</v>
      </c>
      <c r="P54" s="110">
        <f t="shared" si="1"/>
        <v>0</v>
      </c>
      <c r="Q54" s="112">
        <v>0</v>
      </c>
      <c r="R54" s="157"/>
      <c r="S54" s="112">
        <v>0</v>
      </c>
      <c r="T54" s="112">
        <v>0</v>
      </c>
      <c r="U54" s="110">
        <f t="shared" si="2"/>
        <v>0</v>
      </c>
      <c r="V54" s="112">
        <v>0</v>
      </c>
      <c r="W54" s="157"/>
      <c r="X54" s="112">
        <v>0</v>
      </c>
      <c r="Y54" s="112">
        <v>0</v>
      </c>
      <c r="Z54" s="110">
        <f t="shared" si="3"/>
        <v>0</v>
      </c>
      <c r="AA54" s="112">
        <v>0</v>
      </c>
      <c r="AB54" s="157"/>
      <c r="AC54" s="112">
        <v>0</v>
      </c>
      <c r="AD54" s="112">
        <v>0</v>
      </c>
      <c r="AE54" s="110">
        <f t="shared" si="4"/>
        <v>0</v>
      </c>
      <c r="AF54" s="114">
        <v>0</v>
      </c>
      <c r="AG54" s="158"/>
      <c r="AH54" s="114">
        <v>0</v>
      </c>
      <c r="AI54" s="114">
        <v>0</v>
      </c>
      <c r="AJ54" s="110">
        <f t="shared" si="5"/>
        <v>0</v>
      </c>
      <c r="AK54" s="114">
        <v>0</v>
      </c>
      <c r="AL54" s="158"/>
      <c r="AM54" s="114">
        <v>0</v>
      </c>
      <c r="AN54" s="114">
        <v>0</v>
      </c>
      <c r="AO54" s="114">
        <v>0</v>
      </c>
      <c r="AP54" s="158"/>
      <c r="AQ54" s="114">
        <v>0</v>
      </c>
      <c r="AR54" s="114">
        <v>0</v>
      </c>
      <c r="AS54" s="12" t="s">
        <v>505</v>
      </c>
      <c r="AT54" s="12"/>
    </row>
    <row r="55" spans="1:46" x14ac:dyDescent="0.45">
      <c r="B55" s="38"/>
      <c r="C55" s="38" t="s">
        <v>394</v>
      </c>
      <c r="D55" s="10" t="s">
        <v>395</v>
      </c>
      <c r="E55" s="12" t="s">
        <v>396</v>
      </c>
      <c r="F55" s="111" t="s">
        <v>184</v>
      </c>
      <c r="G55" s="112">
        <v>0</v>
      </c>
      <c r="H55" s="157"/>
      <c r="I55" s="112">
        <v>0</v>
      </c>
      <c r="J55" s="112">
        <v>0</v>
      </c>
      <c r="K55" s="110">
        <f t="shared" si="0"/>
        <v>0</v>
      </c>
      <c r="L55" s="112">
        <v>0</v>
      </c>
      <c r="M55" s="157"/>
      <c r="N55" s="112">
        <v>0</v>
      </c>
      <c r="O55" s="112">
        <v>0</v>
      </c>
      <c r="P55" s="110">
        <f t="shared" si="1"/>
        <v>0</v>
      </c>
      <c r="Q55" s="112">
        <v>0</v>
      </c>
      <c r="R55" s="157"/>
      <c r="S55" s="112">
        <v>0</v>
      </c>
      <c r="T55" s="112">
        <v>0</v>
      </c>
      <c r="U55" s="110">
        <f t="shared" si="2"/>
        <v>0</v>
      </c>
      <c r="V55" s="112">
        <v>0</v>
      </c>
      <c r="W55" s="157"/>
      <c r="X55" s="112">
        <v>0</v>
      </c>
      <c r="Y55" s="112">
        <v>0</v>
      </c>
      <c r="Z55" s="110">
        <f t="shared" si="3"/>
        <v>0</v>
      </c>
      <c r="AA55" s="112">
        <v>0</v>
      </c>
      <c r="AB55" s="157"/>
      <c r="AC55" s="112">
        <v>0</v>
      </c>
      <c r="AD55" s="112">
        <v>0</v>
      </c>
      <c r="AE55" s="110">
        <f t="shared" si="4"/>
        <v>0</v>
      </c>
      <c r="AF55" s="114">
        <v>0</v>
      </c>
      <c r="AG55" s="158"/>
      <c r="AH55" s="114">
        <v>0</v>
      </c>
      <c r="AI55" s="114">
        <v>0</v>
      </c>
      <c r="AJ55" s="110">
        <f t="shared" si="5"/>
        <v>0</v>
      </c>
      <c r="AK55" s="114">
        <v>0</v>
      </c>
      <c r="AL55" s="158"/>
      <c r="AM55" s="114">
        <v>0</v>
      </c>
      <c r="AN55" s="114">
        <v>0</v>
      </c>
      <c r="AO55" s="114">
        <v>0</v>
      </c>
      <c r="AP55" s="158"/>
      <c r="AQ55" s="114">
        <v>0</v>
      </c>
      <c r="AR55" s="114">
        <v>0</v>
      </c>
      <c r="AS55" s="12" t="s">
        <v>505</v>
      </c>
      <c r="AT55" s="12"/>
    </row>
    <row r="56" spans="1:46" x14ac:dyDescent="0.45">
      <c r="B56" s="38"/>
      <c r="C56" s="38" t="s">
        <v>397</v>
      </c>
      <c r="D56" s="10" t="s">
        <v>398</v>
      </c>
      <c r="E56" s="12" t="s">
        <v>356</v>
      </c>
      <c r="F56" s="111" t="s">
        <v>184</v>
      </c>
      <c r="G56" s="112">
        <v>0</v>
      </c>
      <c r="H56" s="157"/>
      <c r="I56" s="112">
        <v>0</v>
      </c>
      <c r="J56" s="112">
        <v>0</v>
      </c>
      <c r="K56" s="110">
        <f t="shared" si="0"/>
        <v>0</v>
      </c>
      <c r="L56" s="112">
        <v>0</v>
      </c>
      <c r="M56" s="157"/>
      <c r="N56" s="112">
        <v>0</v>
      </c>
      <c r="O56" s="112">
        <v>0</v>
      </c>
      <c r="P56" s="110">
        <f t="shared" si="1"/>
        <v>0</v>
      </c>
      <c r="Q56" s="112">
        <v>0</v>
      </c>
      <c r="R56" s="157"/>
      <c r="S56" s="112">
        <v>0</v>
      </c>
      <c r="T56" s="112">
        <v>0</v>
      </c>
      <c r="U56" s="110">
        <f t="shared" si="2"/>
        <v>0</v>
      </c>
      <c r="V56" s="112">
        <v>0</v>
      </c>
      <c r="W56" s="157"/>
      <c r="X56" s="112">
        <v>0</v>
      </c>
      <c r="Y56" s="112">
        <v>0</v>
      </c>
      <c r="Z56" s="110">
        <f t="shared" si="3"/>
        <v>0</v>
      </c>
      <c r="AA56" s="112">
        <v>0</v>
      </c>
      <c r="AB56" s="157"/>
      <c r="AC56" s="112">
        <v>0</v>
      </c>
      <c r="AD56" s="112">
        <v>0</v>
      </c>
      <c r="AE56" s="110">
        <f t="shared" si="4"/>
        <v>0</v>
      </c>
      <c r="AF56" s="114">
        <v>0</v>
      </c>
      <c r="AG56" s="158"/>
      <c r="AH56" s="114">
        <v>0</v>
      </c>
      <c r="AI56" s="114">
        <v>0</v>
      </c>
      <c r="AJ56" s="110">
        <f t="shared" si="5"/>
        <v>0</v>
      </c>
      <c r="AK56" s="114">
        <v>0</v>
      </c>
      <c r="AL56" s="158"/>
      <c r="AM56" s="114">
        <v>0</v>
      </c>
      <c r="AN56" s="114">
        <v>0</v>
      </c>
      <c r="AO56" s="114">
        <v>0</v>
      </c>
      <c r="AP56" s="158"/>
      <c r="AQ56" s="114">
        <v>0</v>
      </c>
      <c r="AR56" s="114">
        <v>0</v>
      </c>
      <c r="AS56" s="12" t="s">
        <v>505</v>
      </c>
      <c r="AT56" s="12"/>
    </row>
    <row r="57" spans="1:46" x14ac:dyDescent="0.45">
      <c r="B57" s="38"/>
      <c r="C57" s="38" t="s">
        <v>399</v>
      </c>
      <c r="D57" s="10" t="s">
        <v>400</v>
      </c>
      <c r="E57" s="12" t="s">
        <v>401</v>
      </c>
      <c r="F57" s="111" t="s">
        <v>273</v>
      </c>
      <c r="G57" s="112">
        <v>0</v>
      </c>
      <c r="H57" s="157"/>
      <c r="I57" s="112">
        <v>0</v>
      </c>
      <c r="J57" s="112">
        <v>0</v>
      </c>
      <c r="K57" s="110">
        <f t="shared" si="0"/>
        <v>0</v>
      </c>
      <c r="L57" s="112">
        <v>0</v>
      </c>
      <c r="M57" s="157"/>
      <c r="N57" s="112">
        <v>0</v>
      </c>
      <c r="O57" s="112">
        <v>0</v>
      </c>
      <c r="P57" s="110">
        <f t="shared" si="1"/>
        <v>0</v>
      </c>
      <c r="Q57" s="112">
        <v>0</v>
      </c>
      <c r="R57" s="157"/>
      <c r="S57" s="112">
        <v>0</v>
      </c>
      <c r="T57" s="112">
        <v>0</v>
      </c>
      <c r="U57" s="110">
        <f t="shared" si="2"/>
        <v>0</v>
      </c>
      <c r="V57" s="112">
        <v>0</v>
      </c>
      <c r="W57" s="157"/>
      <c r="X57" s="112">
        <v>0</v>
      </c>
      <c r="Y57" s="112">
        <v>0</v>
      </c>
      <c r="Z57" s="110">
        <f t="shared" si="3"/>
        <v>0</v>
      </c>
      <c r="AA57" s="112">
        <v>0</v>
      </c>
      <c r="AB57" s="157"/>
      <c r="AC57" s="112">
        <v>0</v>
      </c>
      <c r="AD57" s="112">
        <v>0</v>
      </c>
      <c r="AE57" s="110">
        <f t="shared" si="4"/>
        <v>0</v>
      </c>
      <c r="AF57" s="114">
        <v>0</v>
      </c>
      <c r="AG57" s="158"/>
      <c r="AH57" s="114">
        <v>0</v>
      </c>
      <c r="AI57" s="114">
        <v>0</v>
      </c>
      <c r="AJ57" s="110">
        <f t="shared" si="5"/>
        <v>0</v>
      </c>
      <c r="AK57" s="114">
        <v>0</v>
      </c>
      <c r="AL57" s="158"/>
      <c r="AM57" s="114">
        <v>0</v>
      </c>
      <c r="AN57" s="114">
        <v>0</v>
      </c>
      <c r="AO57" s="114">
        <v>0</v>
      </c>
      <c r="AP57" s="158"/>
      <c r="AQ57" s="114">
        <v>0</v>
      </c>
      <c r="AR57" s="114">
        <v>0</v>
      </c>
      <c r="AS57" s="12" t="s">
        <v>505</v>
      </c>
      <c r="AT57" s="12"/>
    </row>
    <row r="58" spans="1:46" x14ac:dyDescent="0.45">
      <c r="B58" s="38"/>
      <c r="C58" s="38" t="s">
        <v>402</v>
      </c>
      <c r="D58" s="10" t="s">
        <v>403</v>
      </c>
      <c r="E58" s="12" t="s">
        <v>404</v>
      </c>
      <c r="F58" s="111" t="s">
        <v>184</v>
      </c>
      <c r="G58" s="112">
        <v>0</v>
      </c>
      <c r="H58" s="157"/>
      <c r="I58" s="112">
        <v>0</v>
      </c>
      <c r="J58" s="112">
        <v>0</v>
      </c>
      <c r="K58" s="110">
        <f t="shared" si="0"/>
        <v>0</v>
      </c>
      <c r="L58" s="112">
        <v>0</v>
      </c>
      <c r="M58" s="157"/>
      <c r="N58" s="112">
        <v>0</v>
      </c>
      <c r="O58" s="112">
        <v>0</v>
      </c>
      <c r="P58" s="110">
        <f t="shared" si="1"/>
        <v>0</v>
      </c>
      <c r="Q58" s="112">
        <v>0</v>
      </c>
      <c r="R58" s="157"/>
      <c r="S58" s="112">
        <v>0</v>
      </c>
      <c r="T58" s="112">
        <v>0</v>
      </c>
      <c r="U58" s="110">
        <f t="shared" si="2"/>
        <v>0</v>
      </c>
      <c r="V58" s="112">
        <v>0</v>
      </c>
      <c r="W58" s="157"/>
      <c r="X58" s="112">
        <v>0</v>
      </c>
      <c r="Y58" s="112">
        <v>0</v>
      </c>
      <c r="Z58" s="110">
        <f t="shared" si="3"/>
        <v>0</v>
      </c>
      <c r="AA58" s="112">
        <v>0</v>
      </c>
      <c r="AB58" s="157"/>
      <c r="AC58" s="112">
        <v>0</v>
      </c>
      <c r="AD58" s="112">
        <v>0</v>
      </c>
      <c r="AE58" s="110">
        <f t="shared" si="4"/>
        <v>0</v>
      </c>
      <c r="AF58" s="114">
        <v>0</v>
      </c>
      <c r="AG58" s="158"/>
      <c r="AH58" s="114">
        <v>0</v>
      </c>
      <c r="AI58" s="114">
        <v>0</v>
      </c>
      <c r="AJ58" s="110">
        <f t="shared" si="5"/>
        <v>0</v>
      </c>
      <c r="AK58" s="114">
        <v>0</v>
      </c>
      <c r="AL58" s="158"/>
      <c r="AM58" s="114">
        <v>0</v>
      </c>
      <c r="AN58" s="114">
        <v>0</v>
      </c>
      <c r="AO58" s="114">
        <v>0</v>
      </c>
      <c r="AP58" s="158"/>
      <c r="AQ58" s="114">
        <v>0</v>
      </c>
      <c r="AR58" s="114">
        <v>0</v>
      </c>
      <c r="AS58" s="12" t="s">
        <v>505</v>
      </c>
      <c r="AT58" s="12"/>
    </row>
    <row r="59" spans="1:46" x14ac:dyDescent="0.45">
      <c r="B59" s="38"/>
      <c r="C59" s="38" t="s">
        <v>405</v>
      </c>
      <c r="D59" s="10" t="s">
        <v>406</v>
      </c>
      <c r="E59" s="12" t="s">
        <v>407</v>
      </c>
      <c r="F59" s="111" t="s">
        <v>273</v>
      </c>
      <c r="G59" s="112">
        <v>0</v>
      </c>
      <c r="H59" s="157"/>
      <c r="I59" s="112">
        <v>0</v>
      </c>
      <c r="J59" s="112">
        <v>0</v>
      </c>
      <c r="K59" s="110">
        <f t="shared" si="0"/>
        <v>0</v>
      </c>
      <c r="L59" s="112">
        <v>1</v>
      </c>
      <c r="M59" s="157"/>
      <c r="N59" s="112">
        <v>0</v>
      </c>
      <c r="O59" s="112">
        <v>0</v>
      </c>
      <c r="P59" s="110">
        <f t="shared" si="1"/>
        <v>0</v>
      </c>
      <c r="Q59" s="112">
        <v>0</v>
      </c>
      <c r="R59" s="157"/>
      <c r="S59" s="112">
        <v>0</v>
      </c>
      <c r="T59" s="112">
        <v>0</v>
      </c>
      <c r="U59" s="110">
        <f t="shared" si="2"/>
        <v>0</v>
      </c>
      <c r="V59" s="112">
        <v>0</v>
      </c>
      <c r="W59" s="157"/>
      <c r="X59" s="112">
        <v>0</v>
      </c>
      <c r="Y59" s="112">
        <v>0</v>
      </c>
      <c r="Z59" s="110">
        <f t="shared" si="3"/>
        <v>0</v>
      </c>
      <c r="AA59" s="112">
        <v>0</v>
      </c>
      <c r="AB59" s="157"/>
      <c r="AC59" s="112">
        <v>1</v>
      </c>
      <c r="AD59" s="112">
        <v>0</v>
      </c>
      <c r="AE59" s="110">
        <f t="shared" si="4"/>
        <v>1</v>
      </c>
      <c r="AF59" s="114">
        <v>0</v>
      </c>
      <c r="AG59" s="158"/>
      <c r="AH59" s="114">
        <v>1</v>
      </c>
      <c r="AI59" s="114">
        <v>0</v>
      </c>
      <c r="AJ59" s="110">
        <f t="shared" si="5"/>
        <v>1</v>
      </c>
      <c r="AK59" s="114">
        <v>0.2</v>
      </c>
      <c r="AL59" s="158"/>
      <c r="AM59" s="114">
        <v>0.18740000000000001</v>
      </c>
      <c r="AN59" s="114">
        <v>0</v>
      </c>
      <c r="AO59" s="114">
        <v>0.2</v>
      </c>
      <c r="AP59" s="158"/>
      <c r="AQ59" s="114">
        <v>0.18350000000000002</v>
      </c>
      <c r="AR59" s="114">
        <v>0</v>
      </c>
      <c r="AS59" s="12" t="s">
        <v>505</v>
      </c>
      <c r="AT59" s="12"/>
    </row>
    <row r="60" spans="1:46" s="198" customFormat="1" ht="42.75" x14ac:dyDescent="0.45">
      <c r="A60" s="198" t="s">
        <v>333</v>
      </c>
      <c r="B60" s="38" t="s">
        <v>573</v>
      </c>
      <c r="C60" s="38" t="s">
        <v>602</v>
      </c>
      <c r="D60" s="10" t="s">
        <v>410</v>
      </c>
      <c r="E60" s="12" t="s">
        <v>603</v>
      </c>
      <c r="F60" s="111" t="s">
        <v>273</v>
      </c>
      <c r="G60" s="112">
        <v>1</v>
      </c>
      <c r="H60" s="157"/>
      <c r="I60" s="112">
        <v>2</v>
      </c>
      <c r="J60" s="112">
        <v>0</v>
      </c>
      <c r="K60" s="110">
        <f t="shared" si="0"/>
        <v>2</v>
      </c>
      <c r="L60" s="112">
        <v>0</v>
      </c>
      <c r="M60" s="157"/>
      <c r="N60" s="112">
        <v>0</v>
      </c>
      <c r="O60" s="112">
        <v>0</v>
      </c>
      <c r="P60" s="110">
        <f t="shared" si="1"/>
        <v>0</v>
      </c>
      <c r="Q60" s="112">
        <v>0</v>
      </c>
      <c r="R60" s="157"/>
      <c r="S60" s="112">
        <v>0</v>
      </c>
      <c r="T60" s="112">
        <v>1</v>
      </c>
      <c r="U60" s="110">
        <f t="shared" si="2"/>
        <v>1</v>
      </c>
      <c r="V60" s="112">
        <v>0</v>
      </c>
      <c r="W60" s="157"/>
      <c r="X60" s="112">
        <v>0</v>
      </c>
      <c r="Y60" s="112">
        <v>0</v>
      </c>
      <c r="Z60" s="110">
        <f t="shared" si="3"/>
        <v>0</v>
      </c>
      <c r="AA60" s="112">
        <v>2</v>
      </c>
      <c r="AB60" s="157"/>
      <c r="AC60" s="112">
        <v>1</v>
      </c>
      <c r="AD60" s="112">
        <v>1</v>
      </c>
      <c r="AE60" s="110">
        <f t="shared" si="4"/>
        <v>2</v>
      </c>
      <c r="AF60" s="114">
        <v>1</v>
      </c>
      <c r="AG60" s="158"/>
      <c r="AH60" s="114">
        <v>1</v>
      </c>
      <c r="AI60" s="114">
        <v>1</v>
      </c>
      <c r="AJ60" s="110">
        <f t="shared" si="5"/>
        <v>2</v>
      </c>
      <c r="AK60" s="114">
        <v>0.6</v>
      </c>
      <c r="AL60" s="158"/>
      <c r="AM60" s="114">
        <v>0.6</v>
      </c>
      <c r="AN60" s="114">
        <v>0.4</v>
      </c>
      <c r="AO60" s="114">
        <v>0.6</v>
      </c>
      <c r="AP60" s="158"/>
      <c r="AQ60" s="114">
        <v>0.6</v>
      </c>
      <c r="AR60" s="114">
        <v>0.4</v>
      </c>
      <c r="AS60" s="12" t="s">
        <v>505</v>
      </c>
      <c r="AT60" s="12" t="s">
        <v>577</v>
      </c>
    </row>
    <row r="61" spans="1:46" x14ac:dyDescent="0.45">
      <c r="E61" s="8" t="s">
        <v>1110</v>
      </c>
      <c r="G61" s="273">
        <f>SUM(G8:G60)</f>
        <v>13</v>
      </c>
      <c r="H61" s="273">
        <f t="shared" ref="H61:AJ61" si="6">SUM(H8:H60)</f>
        <v>0</v>
      </c>
      <c r="I61" s="273">
        <f t="shared" si="6"/>
        <v>13</v>
      </c>
      <c r="J61" s="273">
        <f t="shared" si="6"/>
        <v>6</v>
      </c>
      <c r="K61" s="273">
        <f t="shared" si="6"/>
        <v>19</v>
      </c>
      <c r="L61" s="273">
        <f t="shared" si="6"/>
        <v>12</v>
      </c>
      <c r="M61" s="273">
        <f t="shared" si="6"/>
        <v>0</v>
      </c>
      <c r="N61" s="273">
        <f t="shared" si="6"/>
        <v>11</v>
      </c>
      <c r="O61" s="273">
        <f t="shared" si="6"/>
        <v>7</v>
      </c>
      <c r="P61" s="273">
        <f t="shared" si="6"/>
        <v>18</v>
      </c>
      <c r="Q61" s="273">
        <f t="shared" si="6"/>
        <v>8</v>
      </c>
      <c r="R61" s="273">
        <f t="shared" si="6"/>
        <v>0</v>
      </c>
      <c r="S61" s="273">
        <f t="shared" si="6"/>
        <v>7</v>
      </c>
      <c r="T61" s="273">
        <f t="shared" si="6"/>
        <v>8</v>
      </c>
      <c r="U61" s="273">
        <f t="shared" si="6"/>
        <v>15</v>
      </c>
      <c r="V61" s="273">
        <f t="shared" si="6"/>
        <v>13</v>
      </c>
      <c r="W61" s="273">
        <f t="shared" si="6"/>
        <v>0</v>
      </c>
      <c r="X61" s="273">
        <f t="shared" si="6"/>
        <v>7</v>
      </c>
      <c r="Y61" s="273">
        <f t="shared" si="6"/>
        <v>6</v>
      </c>
      <c r="Z61" s="273">
        <f t="shared" si="6"/>
        <v>13</v>
      </c>
      <c r="AA61" s="273">
        <f t="shared" si="6"/>
        <v>9</v>
      </c>
      <c r="AB61" s="273">
        <f t="shared" si="6"/>
        <v>0</v>
      </c>
      <c r="AC61" s="273">
        <f t="shared" si="6"/>
        <v>9</v>
      </c>
      <c r="AD61" s="273">
        <f t="shared" si="6"/>
        <v>3</v>
      </c>
      <c r="AE61" s="273">
        <f t="shared" si="6"/>
        <v>12</v>
      </c>
      <c r="AF61" s="273">
        <f t="shared" si="6"/>
        <v>6</v>
      </c>
      <c r="AG61" s="273">
        <f t="shared" si="6"/>
        <v>0</v>
      </c>
      <c r="AH61" s="273">
        <f t="shared" si="6"/>
        <v>11</v>
      </c>
      <c r="AI61" s="273">
        <f t="shared" si="6"/>
        <v>12</v>
      </c>
      <c r="AJ61" s="273">
        <f t="shared" si="6"/>
        <v>23</v>
      </c>
    </row>
  </sheetData>
  <dataValidations count="1">
    <dataValidation type="custom" operator="greaterThanOrEqual" allowBlank="1" showInputMessage="1" showErrorMessage="1" error="This cell only accepts a number of &quot;NA&quot;_x000a_" sqref="G8:J59 K8:K60 L8:O59 P8:P60 Q8:T59 U8:U60 V8:Y59 Z8:Z60 AA8:AD59 AE8:AE60 AF8:AI59 AK8:AR59 AJ8:AJ60" xr:uid="{3DE75BE0-9D86-4BF7-8990-0E3DB64F3192}">
      <formula1>OR(AND(ISNUMBER(G8), G8&gt;=0), G8 ="NA")</formula1>
    </dataValidation>
  </dataValidations>
  <pageMargins left="0.7" right="0.7" top="0.75" bottom="0.75" header="0.3" footer="0.3"/>
  <pageSetup paperSize="5" scale="27" fitToHeight="0" orientation="landscape" r:id="rId1"/>
  <headerFooter>
    <oddFooter>&amp;LSDGE 2021 WMP - &amp;A&amp;C&amp;P&amp;R&amp;D</oddFooter>
  </headerFooter>
  <customProperties>
    <customPr name="_pios_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BA69D1FF-AA21-43E4-94BE-3DEBA4527D23}">
          <x14:formula1>
            <xm:f>'Quarterly Submission Guide'!$C$1:$D$1</xm:f>
          </x14:formula1>
          <xm:sqref>F8:F59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Quarterly Submission Guide</vt:lpstr>
      <vt:lpstr>Table 1</vt:lpstr>
      <vt:lpstr>Table 2</vt:lpstr>
      <vt:lpstr>Table 3</vt:lpstr>
      <vt:lpstr>Table 4</vt:lpstr>
      <vt:lpstr>Table 5</vt:lpstr>
      <vt:lpstr>Table 6</vt:lpstr>
      <vt:lpstr>Table 7.1</vt:lpstr>
      <vt:lpstr>Table 7.2</vt:lpstr>
      <vt:lpstr>Table 8</vt:lpstr>
      <vt:lpstr>Table 9</vt:lpstr>
      <vt:lpstr>Table 10</vt:lpstr>
      <vt:lpstr>Table 11</vt:lpstr>
      <vt:lpstr>Table 12</vt:lpstr>
      <vt:lpstr>'Table 11'!Print_Area</vt:lpstr>
      <vt:lpstr>'Table 2'!Print_Area</vt:lpstr>
      <vt:lpstr>'Table 3'!Print_Area</vt:lpstr>
      <vt:lpstr>'Table 4'!Print_Area</vt:lpstr>
      <vt:lpstr>'Table 6'!Print_Area</vt:lpstr>
      <vt:lpstr>'Table 7.1'!Print_Area</vt:lpstr>
      <vt:lpstr>'Table 9'!Print_Area</vt:lpstr>
      <vt:lpstr>'Table 12'!Print_Titles</vt:lpstr>
      <vt:lpstr>'Table 7.1'!Print_Titles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2020-10-05T17:17:42Z</dcterms:created>
  <dcterms:modified xsi:type="dcterms:W3CDTF">2021-03-16T00:08:28Z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{6CBDEEBD-26A0-43AF-96E9-116F28AA745A}</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CofWorkbookId">
    <vt:lpwstr>7ab0617a-2bf6-4850-a9ec-82b76d1a5b07</vt:lpwstr>
  </property>
</Properties>
</file>