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6172AE4F-1B9D-49BC-B4AF-6DDA6887CC26}" xr6:coauthVersionLast="43" xr6:coauthVersionMax="43" xr10:uidLastSave="{00000000-0000-0000-0000-000000000000}"/>
  <bookViews>
    <workbookView xWindow="-108" yWindow="-108" windowWidth="23256" windowHeight="12720" tabRatio="710" activeTab="2" xr2:uid="{00000000-000D-0000-FFFF-FFFF00000000}"/>
  </bookViews>
  <sheets>
    <sheet name="Cover" sheetId="1" r:id="rId1"/>
    <sheet name="Valuation" sheetId="7" r:id="rId2"/>
    <sheet name="Forecasts" sheetId="8" r:id="rId3"/>
    <sheet name="Key Ratios" sheetId="5" r:id="rId4"/>
    <sheet name="Bonds" sheetId="14" r:id="rId5"/>
    <sheet name="WACC" sheetId="12" r:id="rId6"/>
    <sheet name="Competitive Summary" sheetId="13" r:id="rId7"/>
    <sheet name="TSLA Income Statement" sheetId="2" r:id="rId8"/>
    <sheet name="TSLA Balance Sheet" sheetId="3" r:id="rId9"/>
    <sheet name="TSLA Cash Flow" sheetId="4" r:id="rId10"/>
    <sheet name="Valuation model examples" sheetId="6" r:id="rId11"/>
  </sheets>
  <externalReferences>
    <externalReference r:id="rId12"/>
  </externalReferences>
  <definedNames>
    <definedName name="uss_cf" localSheetId="9">'TSLA Cash Flow'!$A$1:$D$58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8" i="8" l="1"/>
  <c r="H98" i="8" s="1"/>
  <c r="F98" i="8"/>
  <c r="F99" i="8" s="1"/>
  <c r="H93" i="8"/>
  <c r="I93" i="8" s="1"/>
  <c r="J93" i="8" s="1"/>
  <c r="K93" i="8" s="1"/>
  <c r="L93" i="8" s="1"/>
  <c r="M93" i="8" s="1"/>
  <c r="G93" i="8"/>
  <c r="C93" i="8"/>
  <c r="D93" i="8"/>
  <c r="E93" i="8"/>
  <c r="E94" i="8"/>
  <c r="F94" i="8"/>
  <c r="G92" i="8"/>
  <c r="H92" i="8" s="1"/>
  <c r="I92" i="8" s="1"/>
  <c r="J92" i="8" s="1"/>
  <c r="K92" i="8" s="1"/>
  <c r="L92" i="8" s="1"/>
  <c r="M92" i="8" s="1"/>
  <c r="F92" i="8"/>
  <c r="G99" i="8"/>
  <c r="F38" i="13"/>
  <c r="F34" i="13"/>
  <c r="F30" i="13"/>
  <c r="F26" i="13"/>
  <c r="F22" i="13"/>
  <c r="F14" i="13"/>
  <c r="F18" i="13"/>
  <c r="E14" i="13"/>
  <c r="F57" i="5"/>
  <c r="F56" i="5"/>
  <c r="F55" i="5"/>
  <c r="F52" i="5"/>
  <c r="F51" i="5"/>
  <c r="F50" i="5"/>
  <c r="F49" i="5"/>
  <c r="F48" i="5"/>
  <c r="F44" i="5"/>
  <c r="F43" i="5"/>
  <c r="F40" i="5"/>
  <c r="F39" i="5"/>
  <c r="F36" i="5"/>
  <c r="F35" i="5"/>
  <c r="F34" i="5"/>
  <c r="F33" i="5"/>
  <c r="F29" i="5"/>
  <c r="F28" i="5"/>
  <c r="F27" i="5"/>
  <c r="F24" i="5"/>
  <c r="F19" i="5"/>
  <c r="F18" i="5"/>
  <c r="F17" i="5"/>
  <c r="F14" i="5"/>
  <c r="F13" i="5"/>
  <c r="F12" i="5"/>
  <c r="F11" i="5"/>
  <c r="F10" i="5"/>
  <c r="F9" i="5"/>
  <c r="F8" i="5"/>
  <c r="F7" i="5"/>
  <c r="F6" i="5"/>
  <c r="E57" i="5"/>
  <c r="E56" i="5"/>
  <c r="E55" i="5"/>
  <c r="E52" i="5"/>
  <c r="E51" i="5"/>
  <c r="E50" i="5"/>
  <c r="E49" i="5"/>
  <c r="E48" i="5"/>
  <c r="E44" i="5"/>
  <c r="E43" i="5"/>
  <c r="E40" i="5"/>
  <c r="E39" i="5"/>
  <c r="E36" i="5"/>
  <c r="E35" i="5"/>
  <c r="E34" i="5"/>
  <c r="E33" i="5"/>
  <c r="E29" i="5"/>
  <c r="E28" i="5"/>
  <c r="E27" i="5"/>
  <c r="E24" i="5"/>
  <c r="E19" i="5"/>
  <c r="E18" i="5"/>
  <c r="E17" i="5"/>
  <c r="E21" i="5" s="1"/>
  <c r="E14" i="5"/>
  <c r="E13" i="5"/>
  <c r="E12" i="5"/>
  <c r="E11" i="5"/>
  <c r="E10" i="5"/>
  <c r="E9" i="5"/>
  <c r="E8" i="5"/>
  <c r="E7" i="5"/>
  <c r="E6" i="5"/>
  <c r="F74" i="2"/>
  <c r="E74" i="2"/>
  <c r="F73" i="2"/>
  <c r="E73" i="2"/>
  <c r="F71" i="2"/>
  <c r="E71" i="2"/>
  <c r="F70" i="2"/>
  <c r="E70" i="2"/>
  <c r="F61" i="2"/>
  <c r="E61" i="2"/>
  <c r="F30" i="2"/>
  <c r="F83" i="2" s="1"/>
  <c r="E30" i="2"/>
  <c r="F18" i="2"/>
  <c r="F72" i="2" s="1"/>
  <c r="E18" i="2"/>
  <c r="E15" i="2"/>
  <c r="F13" i="2"/>
  <c r="F105" i="2" s="1"/>
  <c r="F10" i="2"/>
  <c r="F64" i="2" s="1"/>
  <c r="E10" i="2"/>
  <c r="D42" i="2"/>
  <c r="C42" i="2"/>
  <c r="B42" i="2"/>
  <c r="D40" i="2"/>
  <c r="C40" i="2"/>
  <c r="B40" i="2"/>
  <c r="D36" i="2"/>
  <c r="C36" i="2"/>
  <c r="B36" i="2"/>
  <c r="I98" i="8" l="1"/>
  <c r="H99" i="8"/>
  <c r="F100" i="8"/>
  <c r="F20" i="5"/>
  <c r="F45" i="5"/>
  <c r="F21" i="5"/>
  <c r="E45" i="5"/>
  <c r="E20" i="5"/>
  <c r="F15" i="2"/>
  <c r="F69" i="2" s="1"/>
  <c r="F63" i="2"/>
  <c r="F65" i="2"/>
  <c r="F67" i="2"/>
  <c r="F77" i="2"/>
  <c r="F84" i="2"/>
  <c r="F91" i="2"/>
  <c r="F94" i="2"/>
  <c r="F97" i="2"/>
  <c r="F99" i="2"/>
  <c r="F104" i="2"/>
  <c r="E72" i="2"/>
  <c r="E13" i="2"/>
  <c r="E83" i="2" s="1"/>
  <c r="F62" i="2"/>
  <c r="F66" i="2"/>
  <c r="F78" i="2"/>
  <c r="F81" i="2"/>
  <c r="F85" i="2"/>
  <c r="F88" i="2"/>
  <c r="F90" i="2"/>
  <c r="F98" i="2"/>
  <c r="I99" i="8" l="1"/>
  <c r="J98" i="8"/>
  <c r="E69" i="2"/>
  <c r="E94" i="2"/>
  <c r="E77" i="2"/>
  <c r="E67" i="2"/>
  <c r="E63" i="2"/>
  <c r="E105" i="2"/>
  <c r="E98" i="2"/>
  <c r="E90" i="2"/>
  <c r="E88" i="2"/>
  <c r="E85" i="2"/>
  <c r="E81" i="2"/>
  <c r="E78" i="2"/>
  <c r="E66" i="2"/>
  <c r="E62" i="2"/>
  <c r="E99" i="2"/>
  <c r="E91" i="2"/>
  <c r="E84" i="2"/>
  <c r="E104" i="2"/>
  <c r="E97" i="2"/>
  <c r="E65" i="2"/>
  <c r="E21" i="2"/>
  <c r="F21" i="2"/>
  <c r="E64" i="2"/>
  <c r="J99" i="8" l="1"/>
  <c r="K98" i="8"/>
  <c r="F75" i="2"/>
  <c r="F26" i="2"/>
  <c r="E75" i="2"/>
  <c r="E26" i="2"/>
  <c r="L98" i="8" l="1"/>
  <c r="K99" i="8"/>
  <c r="F79" i="2"/>
  <c r="F29" i="2"/>
  <c r="E29" i="2"/>
  <c r="E79" i="2"/>
  <c r="M98" i="8" l="1"/>
  <c r="M99" i="8" s="1"/>
  <c r="L99" i="8"/>
  <c r="E33" i="2"/>
  <c r="E82" i="2"/>
  <c r="F82" i="2"/>
  <c r="F33" i="2"/>
  <c r="F47" i="2" l="1"/>
  <c r="F36" i="2"/>
  <c r="F86" i="2"/>
  <c r="E47" i="2"/>
  <c r="E36" i="2"/>
  <c r="E86" i="2"/>
  <c r="E100" i="2" l="1"/>
  <c r="E50" i="2"/>
  <c r="E103" i="2" s="1"/>
  <c r="E49" i="2"/>
  <c r="E102" i="2" s="1"/>
  <c r="F40" i="2"/>
  <c r="F89" i="2"/>
  <c r="F37" i="2"/>
  <c r="E40" i="2"/>
  <c r="E89" i="2"/>
  <c r="E37" i="2"/>
  <c r="F100" i="2"/>
  <c r="F50" i="2"/>
  <c r="F103" i="2" s="1"/>
  <c r="F49" i="2"/>
  <c r="F102" i="2" s="1"/>
  <c r="F92" i="2" l="1"/>
  <c r="F42" i="2"/>
  <c r="F95" i="2" s="1"/>
  <c r="E42" i="2"/>
  <c r="E95" i="2" s="1"/>
  <c r="E92" i="2"/>
  <c r="G12" i="14" l="1"/>
  <c r="M13" i="14"/>
  <c r="A1" i="5"/>
  <c r="A1" i="4"/>
  <c r="A1" i="2"/>
  <c r="A1" i="3"/>
  <c r="C10" i="6"/>
  <c r="C18" i="6"/>
  <c r="C19" i="6"/>
  <c r="C20" i="6"/>
  <c r="C21" i="6"/>
  <c r="C22" i="8" l="1"/>
  <c r="D22" i="8"/>
  <c r="E22" i="8"/>
  <c r="M44" i="8"/>
  <c r="L44" i="8"/>
  <c r="K44" i="8"/>
  <c r="J44" i="8"/>
  <c r="I44" i="8"/>
  <c r="H44" i="8"/>
  <c r="G44" i="8"/>
  <c r="F44" i="8"/>
  <c r="F23" i="3" l="1"/>
  <c r="E23" i="3"/>
  <c r="C87" i="8" s="1"/>
  <c r="D23" i="3"/>
  <c r="C23" i="3"/>
  <c r="E87" i="8"/>
  <c r="F87" i="8" s="1"/>
  <c r="G87" i="8" s="1"/>
  <c r="H87" i="8" s="1"/>
  <c r="I87" i="8" s="1"/>
  <c r="J87" i="8" s="1"/>
  <c r="K87" i="8" s="1"/>
  <c r="L87" i="8" s="1"/>
  <c r="M87" i="8" s="1"/>
  <c r="D87" i="8"/>
  <c r="C84" i="8"/>
  <c r="D84" i="8"/>
  <c r="E84" i="8"/>
  <c r="F84" i="8" s="1"/>
  <c r="G84" i="8" s="1"/>
  <c r="C85" i="8"/>
  <c r="D85" i="8"/>
  <c r="E85" i="8"/>
  <c r="C86" i="8"/>
  <c r="D86" i="8"/>
  <c r="E86" i="8"/>
  <c r="C82" i="8"/>
  <c r="D82" i="8" l="1"/>
  <c r="E82" i="8"/>
  <c r="E23" i="8" s="1"/>
  <c r="E44" i="8"/>
  <c r="D44" i="8"/>
  <c r="C44" i="8"/>
  <c r="L55" i="4"/>
  <c r="K55" i="4"/>
  <c r="J55" i="4"/>
  <c r="K50" i="4"/>
  <c r="L50" i="4"/>
  <c r="J50" i="4"/>
  <c r="L36" i="4"/>
  <c r="K36" i="4"/>
  <c r="J36" i="4"/>
  <c r="E8" i="7" l="1"/>
  <c r="D8" i="7"/>
  <c r="C8" i="7"/>
  <c r="B8" i="7"/>
  <c r="F73" i="8" l="1"/>
  <c r="E73" i="8"/>
  <c r="D73" i="8"/>
  <c r="C73" i="8"/>
  <c r="D74" i="2"/>
  <c r="C74" i="2"/>
  <c r="B74" i="2"/>
  <c r="D73" i="2"/>
  <c r="C73" i="2"/>
  <c r="B73" i="2"/>
  <c r="D71" i="2"/>
  <c r="C71" i="2"/>
  <c r="B71" i="2"/>
  <c r="D70" i="2"/>
  <c r="C70" i="2"/>
  <c r="B70" i="2"/>
  <c r="A74" i="2"/>
  <c r="A73" i="2"/>
  <c r="A72" i="2"/>
  <c r="A71" i="2"/>
  <c r="A70" i="2"/>
  <c r="C66" i="2"/>
  <c r="D63" i="2"/>
  <c r="D61" i="2"/>
  <c r="C61" i="2"/>
  <c r="B61" i="2"/>
  <c r="A66" i="2"/>
  <c r="A65" i="2"/>
  <c r="A64" i="2"/>
  <c r="A63" i="2"/>
  <c r="A62" i="2"/>
  <c r="D30" i="2"/>
  <c r="C30" i="2"/>
  <c r="B30" i="2"/>
  <c r="D10" i="2"/>
  <c r="D13" i="2" s="1"/>
  <c r="D65" i="2" s="1"/>
  <c r="D18" i="2"/>
  <c r="D72" i="2" s="1"/>
  <c r="C18" i="2"/>
  <c r="C72" i="2" s="1"/>
  <c r="C10" i="2"/>
  <c r="C13" i="2" s="1"/>
  <c r="C65" i="2" s="1"/>
  <c r="B18" i="2"/>
  <c r="B72" i="2" s="1"/>
  <c r="B10" i="2"/>
  <c r="F107" i="3"/>
  <c r="F106" i="3"/>
  <c r="F100" i="3"/>
  <c r="F92" i="3"/>
  <c r="F91" i="3"/>
  <c r="F90" i="3"/>
  <c r="F89" i="3"/>
  <c r="F87" i="3"/>
  <c r="F85" i="3"/>
  <c r="F84" i="3"/>
  <c r="F83" i="3"/>
  <c r="F82" i="3"/>
  <c r="F81" i="3"/>
  <c r="F80" i="3"/>
  <c r="F79" i="3"/>
  <c r="F76" i="3"/>
  <c r="F75" i="3"/>
  <c r="F74" i="3"/>
  <c r="F73" i="3"/>
  <c r="F72" i="3"/>
  <c r="F71" i="3"/>
  <c r="F70" i="3"/>
  <c r="F69" i="3"/>
  <c r="F68" i="3"/>
  <c r="F65" i="3"/>
  <c r="F64" i="3"/>
  <c r="F63" i="3"/>
  <c r="F61" i="3"/>
  <c r="F34" i="3"/>
  <c r="F41" i="3" s="1"/>
  <c r="E92" i="3"/>
  <c r="E91" i="3"/>
  <c r="E90" i="3"/>
  <c r="E89" i="3"/>
  <c r="D92" i="3"/>
  <c r="D91" i="3"/>
  <c r="D90" i="3"/>
  <c r="D89" i="3"/>
  <c r="C92" i="3"/>
  <c r="C91" i="3"/>
  <c r="C90" i="3"/>
  <c r="C89" i="3"/>
  <c r="B92" i="3"/>
  <c r="B91" i="3"/>
  <c r="B90" i="3"/>
  <c r="B89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A86" i="3"/>
  <c r="B85" i="3"/>
  <c r="B84" i="3"/>
  <c r="B83" i="3"/>
  <c r="B82" i="3"/>
  <c r="B81" i="3"/>
  <c r="B80" i="3"/>
  <c r="B79" i="3"/>
  <c r="E76" i="3"/>
  <c r="E75" i="3"/>
  <c r="E74" i="3"/>
  <c r="E73" i="3"/>
  <c r="E72" i="3"/>
  <c r="E71" i="3"/>
  <c r="E70" i="3"/>
  <c r="E69" i="3"/>
  <c r="E68" i="3"/>
  <c r="D75" i="3"/>
  <c r="D74" i="3"/>
  <c r="D73" i="3"/>
  <c r="D72" i="3"/>
  <c r="D71" i="3"/>
  <c r="D70" i="3"/>
  <c r="D69" i="3"/>
  <c r="D68" i="3"/>
  <c r="C75" i="3"/>
  <c r="C74" i="3"/>
  <c r="C73" i="3"/>
  <c r="C72" i="3"/>
  <c r="C71" i="3"/>
  <c r="C70" i="3"/>
  <c r="C69" i="3"/>
  <c r="B75" i="3"/>
  <c r="B74" i="3"/>
  <c r="B73" i="3"/>
  <c r="B72" i="3"/>
  <c r="B71" i="3"/>
  <c r="B70" i="3"/>
  <c r="B69" i="3"/>
  <c r="B68" i="3"/>
  <c r="E34" i="3"/>
  <c r="E41" i="3" s="1"/>
  <c r="F59" i="3"/>
  <c r="E59" i="3"/>
  <c r="D59" i="3"/>
  <c r="C59" i="3"/>
  <c r="C53" i="3"/>
  <c r="C15" i="2" l="1"/>
  <c r="C21" i="2" s="1"/>
  <c r="C26" i="2" s="1"/>
  <c r="C29" i="2" s="1"/>
  <c r="C33" i="2" s="1"/>
  <c r="C47" i="2" s="1"/>
  <c r="B13" i="2"/>
  <c r="C62" i="2"/>
  <c r="D66" i="2"/>
  <c r="D15" i="2"/>
  <c r="D21" i="2" s="1"/>
  <c r="D26" i="2" s="1"/>
  <c r="D29" i="2" s="1"/>
  <c r="D33" i="2" s="1"/>
  <c r="D47" i="2" s="1"/>
  <c r="L8" i="4" s="1"/>
  <c r="L29" i="4" s="1"/>
  <c r="D62" i="2"/>
  <c r="C64" i="2"/>
  <c r="C63" i="2"/>
  <c r="D64" i="2"/>
  <c r="B15" i="2"/>
  <c r="E94" i="3"/>
  <c r="E40" i="3"/>
  <c r="E93" i="3" s="1"/>
  <c r="F40" i="3"/>
  <c r="F93" i="3" s="1"/>
  <c r="F94" i="3"/>
  <c r="K8" i="4" l="1"/>
  <c r="K29" i="4" s="1"/>
  <c r="C50" i="2"/>
  <c r="C49" i="2"/>
  <c r="D50" i="2"/>
  <c r="B66" i="2"/>
  <c r="B21" i="2"/>
  <c r="B26" i="2" s="1"/>
  <c r="B29" i="2" s="1"/>
  <c r="B33" i="2" s="1"/>
  <c r="B47" i="2" s="1"/>
  <c r="B63" i="2"/>
  <c r="B65" i="2"/>
  <c r="B62" i="2"/>
  <c r="D49" i="2"/>
  <c r="B64" i="2"/>
  <c r="D34" i="3"/>
  <c r="D41" i="3" s="1"/>
  <c r="C34" i="3"/>
  <c r="C41" i="3" s="1"/>
  <c r="F14" i="3"/>
  <c r="F66" i="3" s="1"/>
  <c r="E14" i="3"/>
  <c r="C80" i="8" s="1"/>
  <c r="D14" i="3"/>
  <c r="D80" i="8" s="1"/>
  <c r="C14" i="3"/>
  <c r="E80" i="8" s="1"/>
  <c r="D40" i="13"/>
  <c r="C40" i="13"/>
  <c r="I40" i="13" s="1"/>
  <c r="H39" i="13"/>
  <c r="D39" i="13"/>
  <c r="C39" i="13"/>
  <c r="I39" i="13" s="1"/>
  <c r="C2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98" i="8"/>
  <c r="E97" i="8"/>
  <c r="E96" i="8"/>
  <c r="E92" i="8"/>
  <c r="E91" i="8"/>
  <c r="F91" i="8" s="1"/>
  <c r="G91" i="8" s="1"/>
  <c r="H91" i="8" s="1"/>
  <c r="I91" i="8" s="1"/>
  <c r="J91" i="8" s="1"/>
  <c r="K91" i="8" s="1"/>
  <c r="L91" i="8" s="1"/>
  <c r="M91" i="8" s="1"/>
  <c r="E88" i="8"/>
  <c r="E79" i="8"/>
  <c r="F79" i="8" s="1"/>
  <c r="G79" i="8" s="1"/>
  <c r="H79" i="8" s="1"/>
  <c r="I79" i="8" s="1"/>
  <c r="J79" i="8" s="1"/>
  <c r="K79" i="8" s="1"/>
  <c r="L79" i="8" s="1"/>
  <c r="M79" i="8" s="1"/>
  <c r="E78" i="8"/>
  <c r="F78" i="8" s="1"/>
  <c r="G78" i="8" s="1"/>
  <c r="H78" i="8" s="1"/>
  <c r="I78" i="8" s="1"/>
  <c r="J78" i="8" s="1"/>
  <c r="K78" i="8" s="1"/>
  <c r="L78" i="8" s="1"/>
  <c r="M78" i="8" s="1"/>
  <c r="E77" i="8"/>
  <c r="F77" i="8" s="1"/>
  <c r="G77" i="8" s="1"/>
  <c r="H77" i="8" s="1"/>
  <c r="I77" i="8" s="1"/>
  <c r="J77" i="8" s="1"/>
  <c r="K77" i="8" s="1"/>
  <c r="L77" i="8" s="1"/>
  <c r="M77" i="8" s="1"/>
  <c r="E76" i="8"/>
  <c r="E75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0" i="8"/>
  <c r="C99" i="8"/>
  <c r="C98" i="8"/>
  <c r="C97" i="8"/>
  <c r="C96" i="8"/>
  <c r="C94" i="8"/>
  <c r="C92" i="8"/>
  <c r="C91" i="8"/>
  <c r="C88" i="8"/>
  <c r="C79" i="8"/>
  <c r="C78" i="8"/>
  <c r="C77" i="8"/>
  <c r="C117" i="8" s="1"/>
  <c r="C76" i="8"/>
  <c r="C75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98" i="8"/>
  <c r="D97" i="8"/>
  <c r="D96" i="8"/>
  <c r="D92" i="8"/>
  <c r="D91" i="8"/>
  <c r="D88" i="8"/>
  <c r="D79" i="8"/>
  <c r="D78" i="8"/>
  <c r="D77" i="8"/>
  <c r="D76" i="8"/>
  <c r="D75" i="8"/>
  <c r="C50" i="8"/>
  <c r="D50" i="8"/>
  <c r="E50" i="8"/>
  <c r="C49" i="8"/>
  <c r="D49" i="8"/>
  <c r="E49" i="8"/>
  <c r="E60" i="8"/>
  <c r="E59" i="8"/>
  <c r="E21" i="8" s="1"/>
  <c r="E58" i="8"/>
  <c r="E57" i="8"/>
  <c r="E56" i="8"/>
  <c r="E20" i="8" s="1"/>
  <c r="E55" i="8"/>
  <c r="E54" i="8"/>
  <c r="E53" i="8"/>
  <c r="E52" i="8"/>
  <c r="E48" i="8"/>
  <c r="E47" i="8"/>
  <c r="E46" i="8"/>
  <c r="E45" i="8"/>
  <c r="C60" i="8"/>
  <c r="C59" i="8"/>
  <c r="C21" i="8" s="1"/>
  <c r="C58" i="8"/>
  <c r="C57" i="8"/>
  <c r="C56" i="8"/>
  <c r="C20" i="8" s="1"/>
  <c r="C55" i="8"/>
  <c r="C54" i="8"/>
  <c r="C53" i="8"/>
  <c r="C52" i="8"/>
  <c r="C48" i="8"/>
  <c r="C47" i="8"/>
  <c r="C46" i="8"/>
  <c r="C45" i="8"/>
  <c r="D60" i="8"/>
  <c r="D59" i="8"/>
  <c r="D21" i="8" s="1"/>
  <c r="D58" i="8"/>
  <c r="D57" i="8"/>
  <c r="D56" i="8"/>
  <c r="D20" i="8" s="1"/>
  <c r="D55" i="8"/>
  <c r="D54" i="8"/>
  <c r="D53" i="8"/>
  <c r="D52" i="8"/>
  <c r="D48" i="8"/>
  <c r="D47" i="8"/>
  <c r="D46" i="8"/>
  <c r="D45" i="8"/>
  <c r="D36" i="13"/>
  <c r="C36" i="13"/>
  <c r="D32" i="13"/>
  <c r="C32" i="13"/>
  <c r="D28" i="13"/>
  <c r="C24" i="13"/>
  <c r="D20" i="13"/>
  <c r="C20" i="13"/>
  <c r="D16" i="13"/>
  <c r="C16" i="13"/>
  <c r="D35" i="13"/>
  <c r="C35" i="13"/>
  <c r="D31" i="13"/>
  <c r="C27" i="13"/>
  <c r="D23" i="13"/>
  <c r="C23" i="13"/>
  <c r="D19" i="13"/>
  <c r="C19" i="13"/>
  <c r="D15" i="13"/>
  <c r="C15" i="13"/>
  <c r="C28" i="13"/>
  <c r="H28" i="13" s="1"/>
  <c r="D24" i="13"/>
  <c r="C31" i="13"/>
  <c r="H31" i="13" s="1"/>
  <c r="D27" i="13"/>
  <c r="M12" i="14"/>
  <c r="C16" i="12" s="1"/>
  <c r="C10" i="8" s="1"/>
  <c r="I5" i="13"/>
  <c r="I8" i="13" s="1"/>
  <c r="I6" i="13"/>
  <c r="G4" i="13"/>
  <c r="I4" i="13" s="1"/>
  <c r="D37" i="2"/>
  <c r="C37" i="2"/>
  <c r="B37" i="2"/>
  <c r="B21" i="12"/>
  <c r="C22" i="12" s="1"/>
  <c r="C11" i="12"/>
  <c r="B29" i="12"/>
  <c r="B30" i="12" s="1"/>
  <c r="C13" i="8" s="1"/>
  <c r="G94" i="8" l="1"/>
  <c r="G100" i="8" s="1"/>
  <c r="J8" i="4"/>
  <c r="J29" i="4" s="1"/>
  <c r="B50" i="2"/>
  <c r="B49" i="2"/>
  <c r="K48" i="8"/>
  <c r="L48" i="8" s="1"/>
  <c r="M48" i="8" s="1"/>
  <c r="F48" i="8"/>
  <c r="G48" i="8" s="1"/>
  <c r="H48" i="8" s="1"/>
  <c r="I48" i="8" s="1"/>
  <c r="J48" i="8" s="1"/>
  <c r="D40" i="3"/>
  <c r="D94" i="3"/>
  <c r="C35" i="8"/>
  <c r="F96" i="8"/>
  <c r="C123" i="8"/>
  <c r="C67" i="8"/>
  <c r="D100" i="8"/>
  <c r="C121" i="8"/>
  <c r="D94" i="8"/>
  <c r="D121" i="8"/>
  <c r="D117" i="8"/>
  <c r="H15" i="13"/>
  <c r="H19" i="13"/>
  <c r="H35" i="13"/>
  <c r="H32" i="13"/>
  <c r="E123" i="8"/>
  <c r="C14" i="8"/>
  <c r="H23" i="13"/>
  <c r="H16" i="13"/>
  <c r="H20" i="13"/>
  <c r="H36" i="13"/>
  <c r="D123" i="8"/>
  <c r="C4" i="12"/>
  <c r="H27" i="13"/>
  <c r="H24" i="13"/>
  <c r="D67" i="8"/>
  <c r="E117" i="8"/>
  <c r="H40" i="13"/>
  <c r="E121" i="8"/>
  <c r="E122" i="8"/>
  <c r="D122" i="8"/>
  <c r="C122" i="8"/>
  <c r="D23" i="8"/>
  <c r="C23" i="8"/>
  <c r="C25" i="8" s="1"/>
  <c r="F117" i="8"/>
  <c r="D120" i="8"/>
  <c r="C120" i="8"/>
  <c r="E120" i="8"/>
  <c r="E19" i="8"/>
  <c r="D19" i="8"/>
  <c r="C19" i="8"/>
  <c r="D65" i="8"/>
  <c r="D66" i="8"/>
  <c r="D68" i="8"/>
  <c r="D69" i="8"/>
  <c r="C66" i="8"/>
  <c r="C68" i="8"/>
  <c r="C69" i="8"/>
  <c r="E66" i="8"/>
  <c r="E68" i="8"/>
  <c r="E69" i="8"/>
  <c r="E67" i="8"/>
  <c r="F45" i="8"/>
  <c r="F80" i="8" s="1"/>
  <c r="E65" i="8"/>
  <c r="I19" i="13"/>
  <c r="I20" i="13"/>
  <c r="I23" i="13"/>
  <c r="I24" i="13"/>
  <c r="I27" i="13"/>
  <c r="I28" i="13"/>
  <c r="I31" i="13"/>
  <c r="I32" i="13"/>
  <c r="I35" i="13"/>
  <c r="I36" i="13"/>
  <c r="I15" i="13"/>
  <c r="I16" i="13"/>
  <c r="C9" i="8"/>
  <c r="C11" i="8" s="1"/>
  <c r="C12" i="8"/>
  <c r="H94" i="8" l="1"/>
  <c r="H100" i="8" s="1"/>
  <c r="D93" i="3"/>
  <c r="D99" i="8"/>
  <c r="G96" i="8"/>
  <c r="F57" i="8"/>
  <c r="G45" i="8"/>
  <c r="G19" i="8" s="1"/>
  <c r="F51" i="8"/>
  <c r="F22" i="8" s="1"/>
  <c r="D118" i="8"/>
  <c r="D24" i="8" s="1"/>
  <c r="D25" i="8" s="1"/>
  <c r="H84" i="8"/>
  <c r="E118" i="8"/>
  <c r="E24" i="8" s="1"/>
  <c r="E25" i="8" s="1"/>
  <c r="F118" i="8"/>
  <c r="F24" i="8" s="1"/>
  <c r="F19" i="8"/>
  <c r="F49" i="8"/>
  <c r="F46" i="8"/>
  <c r="C15" i="8"/>
  <c r="H45" i="8"/>
  <c r="I94" i="8" l="1"/>
  <c r="I100" i="8" s="1"/>
  <c r="H96" i="8"/>
  <c r="G57" i="8"/>
  <c r="G80" i="8"/>
  <c r="G88" i="8" s="1"/>
  <c r="G51" i="8"/>
  <c r="G22" i="8" s="1"/>
  <c r="F50" i="8"/>
  <c r="I84" i="8"/>
  <c r="B14" i="7"/>
  <c r="H19" i="8"/>
  <c r="H51" i="8"/>
  <c r="H22" i="8" s="1"/>
  <c r="H80" i="8"/>
  <c r="H88" i="8" s="1"/>
  <c r="G75" i="8"/>
  <c r="G117" i="8"/>
  <c r="G118" i="8" s="1"/>
  <c r="I45" i="8"/>
  <c r="J94" i="8" l="1"/>
  <c r="J100" i="8" s="1"/>
  <c r="I96" i="8"/>
  <c r="H57" i="8"/>
  <c r="J84" i="8"/>
  <c r="I19" i="8"/>
  <c r="I51" i="8"/>
  <c r="I22" i="8" s="1"/>
  <c r="I80" i="8"/>
  <c r="I88" i="8" s="1"/>
  <c r="H75" i="8"/>
  <c r="C14" i="7"/>
  <c r="G24" i="8"/>
  <c r="H117" i="8"/>
  <c r="H118" i="8" s="1"/>
  <c r="J45" i="8"/>
  <c r="B90" i="2"/>
  <c r="C90" i="2"/>
  <c r="D90" i="2"/>
  <c r="B9" i="7"/>
  <c r="H37" i="6"/>
  <c r="B44" i="6"/>
  <c r="B49" i="6"/>
  <c r="B43" i="6" s="1"/>
  <c r="B37" i="6"/>
  <c r="D33" i="6"/>
  <c r="B24" i="6"/>
  <c r="E26" i="13"/>
  <c r="D10" i="5"/>
  <c r="D26" i="13" s="1"/>
  <c r="C10" i="5"/>
  <c r="C26" i="13" s="1"/>
  <c r="D24" i="5"/>
  <c r="C24" i="5"/>
  <c r="D34" i="5"/>
  <c r="D36" i="5"/>
  <c r="D35" i="5"/>
  <c r="C35" i="5"/>
  <c r="D19" i="5"/>
  <c r="C19" i="5"/>
  <c r="D17" i="5"/>
  <c r="C17" i="5"/>
  <c r="D18" i="5"/>
  <c r="C18" i="5"/>
  <c r="D33" i="5"/>
  <c r="D57" i="5"/>
  <c r="C57" i="5"/>
  <c r="D56" i="5"/>
  <c r="C56" i="5"/>
  <c r="D55" i="5"/>
  <c r="C55" i="5"/>
  <c r="D51" i="5"/>
  <c r="D52" i="5" s="1"/>
  <c r="C51" i="5"/>
  <c r="C52" i="5" s="1"/>
  <c r="E38" i="13"/>
  <c r="D50" i="5"/>
  <c r="D38" i="13" s="1"/>
  <c r="C50" i="5"/>
  <c r="C38" i="13" s="1"/>
  <c r="D49" i="5"/>
  <c r="C49" i="5"/>
  <c r="D48" i="5"/>
  <c r="C48" i="5"/>
  <c r="D44" i="5"/>
  <c r="C44" i="5"/>
  <c r="D43" i="5"/>
  <c r="C43" i="5"/>
  <c r="C28" i="5"/>
  <c r="D40" i="5"/>
  <c r="C40" i="5"/>
  <c r="D39" i="5"/>
  <c r="C39" i="5"/>
  <c r="D28" i="5"/>
  <c r="D29" i="5"/>
  <c r="C29" i="5"/>
  <c r="D27" i="5"/>
  <c r="C27" i="5"/>
  <c r="E106" i="3"/>
  <c r="D106" i="3"/>
  <c r="C106" i="3"/>
  <c r="E100" i="3"/>
  <c r="D100" i="3"/>
  <c r="C100" i="3"/>
  <c r="E87" i="3"/>
  <c r="D87" i="3"/>
  <c r="C87" i="3"/>
  <c r="C79" i="3"/>
  <c r="E107" i="3"/>
  <c r="D107" i="3"/>
  <c r="C107" i="3"/>
  <c r="C68" i="3"/>
  <c r="E66" i="3"/>
  <c r="D66" i="3"/>
  <c r="C66" i="3"/>
  <c r="E65" i="3"/>
  <c r="D65" i="3"/>
  <c r="C65" i="3"/>
  <c r="E64" i="3"/>
  <c r="D64" i="3"/>
  <c r="C64" i="3"/>
  <c r="E63" i="3"/>
  <c r="D63" i="3"/>
  <c r="C63" i="3"/>
  <c r="E61" i="3"/>
  <c r="D61" i="3"/>
  <c r="C61" i="3"/>
  <c r="D76" i="3"/>
  <c r="C76" i="3"/>
  <c r="D67" i="2"/>
  <c r="C67" i="2"/>
  <c r="D105" i="2"/>
  <c r="C105" i="2"/>
  <c r="D104" i="2"/>
  <c r="C104" i="2"/>
  <c r="D103" i="2"/>
  <c r="C103" i="2"/>
  <c r="D102" i="2"/>
  <c r="C102" i="2"/>
  <c r="D100" i="2"/>
  <c r="C100" i="2"/>
  <c r="D99" i="2"/>
  <c r="C99" i="2"/>
  <c r="D98" i="2"/>
  <c r="C98" i="2"/>
  <c r="D97" i="2"/>
  <c r="C97" i="2"/>
  <c r="D95" i="2"/>
  <c r="C95" i="2"/>
  <c r="D94" i="2"/>
  <c r="C94" i="2"/>
  <c r="D92" i="2"/>
  <c r="C92" i="2"/>
  <c r="D91" i="2"/>
  <c r="C91" i="2"/>
  <c r="D89" i="2"/>
  <c r="C89" i="2"/>
  <c r="D88" i="2"/>
  <c r="C88" i="2"/>
  <c r="D86" i="2"/>
  <c r="C86" i="2"/>
  <c r="D85" i="2"/>
  <c r="C85" i="2"/>
  <c r="D84" i="2"/>
  <c r="C84" i="2"/>
  <c r="D83" i="2"/>
  <c r="C83" i="2"/>
  <c r="D82" i="2"/>
  <c r="C82" i="2"/>
  <c r="D81" i="2"/>
  <c r="C81" i="2"/>
  <c r="D79" i="2"/>
  <c r="C79" i="2"/>
  <c r="D78" i="2"/>
  <c r="E34" i="13" s="1"/>
  <c r="C78" i="2"/>
  <c r="D14" i="5" s="1"/>
  <c r="D34" i="13" s="1"/>
  <c r="D77" i="2"/>
  <c r="C77" i="2"/>
  <c r="D75" i="2"/>
  <c r="C75" i="2"/>
  <c r="D69" i="2"/>
  <c r="E30" i="13" s="1"/>
  <c r="C69" i="2"/>
  <c r="D13" i="5" s="1"/>
  <c r="D30" i="13" s="1"/>
  <c r="B105" i="2"/>
  <c r="B104" i="2"/>
  <c r="B103" i="2"/>
  <c r="B102" i="2"/>
  <c r="B100" i="2"/>
  <c r="B99" i="2"/>
  <c r="B98" i="2"/>
  <c r="B97" i="2"/>
  <c r="B95" i="2"/>
  <c r="B94" i="2"/>
  <c r="B92" i="2"/>
  <c r="B91" i="2"/>
  <c r="B89" i="2"/>
  <c r="B88" i="2"/>
  <c r="B86" i="2"/>
  <c r="B85" i="2"/>
  <c r="B84" i="2"/>
  <c r="B83" i="2"/>
  <c r="B82" i="2"/>
  <c r="B81" i="2"/>
  <c r="B79" i="2"/>
  <c r="B78" i="2"/>
  <c r="C14" i="5" s="1"/>
  <c r="C34" i="13" s="1"/>
  <c r="B77" i="2"/>
  <c r="B75" i="2"/>
  <c r="B69" i="2"/>
  <c r="C13" i="5" s="1"/>
  <c r="C30" i="13" s="1"/>
  <c r="B67" i="2"/>
  <c r="D12" i="5"/>
  <c r="C12" i="5"/>
  <c r="D11" i="5"/>
  <c r="C11" i="5"/>
  <c r="E22" i="13"/>
  <c r="D9" i="5"/>
  <c r="D22" i="13" s="1"/>
  <c r="C9" i="5"/>
  <c r="C22" i="13" s="1"/>
  <c r="E18" i="13"/>
  <c r="D8" i="5"/>
  <c r="D18" i="13" s="1"/>
  <c r="C8" i="5"/>
  <c r="C18" i="13" s="1"/>
  <c r="D6" i="5"/>
  <c r="D14" i="13" s="1"/>
  <c r="C6" i="5"/>
  <c r="C14" i="13" s="1"/>
  <c r="D7" i="5"/>
  <c r="C7" i="5"/>
  <c r="K94" i="8" l="1"/>
  <c r="K100" i="8" s="1"/>
  <c r="J96" i="8"/>
  <c r="I57" i="8"/>
  <c r="K84" i="8"/>
  <c r="L84" i="8" s="1"/>
  <c r="C45" i="5"/>
  <c r="D20" i="5"/>
  <c r="H30" i="13"/>
  <c r="I30" i="13"/>
  <c r="I38" i="13"/>
  <c r="H38" i="13"/>
  <c r="H26" i="13"/>
  <c r="I26" i="13"/>
  <c r="H14" i="13"/>
  <c r="I14" i="13"/>
  <c r="H18" i="13"/>
  <c r="I18" i="13"/>
  <c r="D45" i="5"/>
  <c r="H22" i="13"/>
  <c r="I22" i="13"/>
  <c r="H34" i="13"/>
  <c r="I34" i="13"/>
  <c r="C20" i="5"/>
  <c r="J51" i="8"/>
  <c r="J22" i="8" s="1"/>
  <c r="J80" i="8"/>
  <c r="J88" i="8" s="1"/>
  <c r="I75" i="8"/>
  <c r="D14" i="7"/>
  <c r="H24" i="8"/>
  <c r="I117" i="8"/>
  <c r="I118" i="8" s="1"/>
  <c r="K45" i="8"/>
  <c r="K49" i="8" s="1"/>
  <c r="J19" i="8"/>
  <c r="F47" i="8"/>
  <c r="F82" i="8"/>
  <c r="F23" i="8" s="1"/>
  <c r="B13" i="7" s="1"/>
  <c r="E33" i="6"/>
  <c r="B31" i="6"/>
  <c r="C33" i="6"/>
  <c r="B45" i="6"/>
  <c r="C21" i="5"/>
  <c r="D21" i="5"/>
  <c r="M94" i="8" l="1"/>
  <c r="M100" i="8" s="1"/>
  <c r="L94" i="8"/>
  <c r="L100" i="8" s="1"/>
  <c r="K96" i="8"/>
  <c r="J57" i="8"/>
  <c r="L45" i="8"/>
  <c r="L19" i="8" s="1"/>
  <c r="K46" i="8"/>
  <c r="K50" i="8" s="1"/>
  <c r="M84" i="8"/>
  <c r="K19" i="8"/>
  <c r="K51" i="8"/>
  <c r="K22" i="8" s="1"/>
  <c r="K80" i="8"/>
  <c r="J75" i="8"/>
  <c r="E14" i="7"/>
  <c r="I24" i="8"/>
  <c r="K117" i="8"/>
  <c r="J117" i="8"/>
  <c r="J118" i="8" s="1"/>
  <c r="G49" i="8"/>
  <c r="G46" i="8"/>
  <c r="G47" i="8" s="1"/>
  <c r="B12" i="7"/>
  <c r="C9" i="7"/>
  <c r="C12" i="7"/>
  <c r="F52" i="8"/>
  <c r="F56" i="8" s="1"/>
  <c r="B10" i="7" s="1"/>
  <c r="L96" i="8" l="1"/>
  <c r="K57" i="8"/>
  <c r="L80" i="8"/>
  <c r="L88" i="8" s="1"/>
  <c r="L46" i="8"/>
  <c r="L47" i="8" s="1"/>
  <c r="L49" i="8"/>
  <c r="M45" i="8"/>
  <c r="M80" i="8" s="1"/>
  <c r="M88" i="8" s="1"/>
  <c r="L51" i="8"/>
  <c r="L22" i="8" s="1"/>
  <c r="K47" i="8"/>
  <c r="K52" i="8"/>
  <c r="K56" i="8" s="1"/>
  <c r="K68" i="8" s="1"/>
  <c r="G50" i="8"/>
  <c r="G52" i="8" s="1"/>
  <c r="G56" i="8" s="1"/>
  <c r="K75" i="8"/>
  <c r="K88" i="8"/>
  <c r="F20" i="8"/>
  <c r="F68" i="8"/>
  <c r="F14" i="7"/>
  <c r="J24" i="8"/>
  <c r="L117" i="8"/>
  <c r="L118" i="8" s="1"/>
  <c r="L24" i="8" s="1"/>
  <c r="M117" i="8"/>
  <c r="K118" i="8"/>
  <c r="K24" i="8" s="1"/>
  <c r="H49" i="8"/>
  <c r="H46" i="8"/>
  <c r="F58" i="8"/>
  <c r="G82" i="8"/>
  <c r="G23" i="8" s="1"/>
  <c r="C13" i="7" s="1"/>
  <c r="D9" i="7"/>
  <c r="D12" i="7"/>
  <c r="M96" i="8" l="1"/>
  <c r="M57" i="8" s="1"/>
  <c r="L57" i="8"/>
  <c r="G20" i="8"/>
  <c r="C10" i="7"/>
  <c r="L75" i="8"/>
  <c r="L50" i="8"/>
  <c r="L52" i="8" s="1"/>
  <c r="L56" i="8" s="1"/>
  <c r="L68" i="8" s="1"/>
  <c r="M19" i="8"/>
  <c r="M51" i="8"/>
  <c r="M22" i="8" s="1"/>
  <c r="K20" i="8"/>
  <c r="M46" i="8"/>
  <c r="M47" i="8" s="1"/>
  <c r="M49" i="8"/>
  <c r="G68" i="8"/>
  <c r="G58" i="8"/>
  <c r="G59" i="8" s="1"/>
  <c r="G21" i="8" s="1"/>
  <c r="K58" i="8"/>
  <c r="K59" i="8" s="1"/>
  <c r="K21" i="8" s="1"/>
  <c r="M118" i="8"/>
  <c r="M24" i="8" s="1"/>
  <c r="H50" i="8"/>
  <c r="H52" i="8" s="1"/>
  <c r="H56" i="8" s="1"/>
  <c r="D10" i="7" s="1"/>
  <c r="H47" i="8"/>
  <c r="M75" i="8"/>
  <c r="F59" i="8"/>
  <c r="F21" i="8" s="1"/>
  <c r="F25" i="8" s="1"/>
  <c r="I49" i="8"/>
  <c r="I46" i="8"/>
  <c r="H82" i="8"/>
  <c r="H23" i="8" s="1"/>
  <c r="D13" i="7" s="1"/>
  <c r="E9" i="7"/>
  <c r="E12" i="7"/>
  <c r="G25" i="8" l="1"/>
  <c r="L20" i="8"/>
  <c r="L58" i="8"/>
  <c r="B11" i="7"/>
  <c r="B15" i="7" s="1"/>
  <c r="B16" i="7" s="1"/>
  <c r="M50" i="8"/>
  <c r="M52" i="8" s="1"/>
  <c r="M56" i="8" s="1"/>
  <c r="M68" i="8" s="1"/>
  <c r="H20" i="8"/>
  <c r="H58" i="8"/>
  <c r="H59" i="8" s="1"/>
  <c r="F60" i="8"/>
  <c r="H68" i="8"/>
  <c r="I50" i="8"/>
  <c r="I52" i="8" s="1"/>
  <c r="I56" i="8" s="1"/>
  <c r="C11" i="7"/>
  <c r="C15" i="7" s="1"/>
  <c r="C16" i="7" s="1"/>
  <c r="I47" i="8"/>
  <c r="G60" i="8"/>
  <c r="C29" i="8"/>
  <c r="L59" i="8"/>
  <c r="L21" i="8" s="1"/>
  <c r="K60" i="8"/>
  <c r="J49" i="8"/>
  <c r="J46" i="8"/>
  <c r="I82" i="8"/>
  <c r="I23" i="8" s="1"/>
  <c r="E13" i="7" s="1"/>
  <c r="F9" i="7"/>
  <c r="F12" i="7"/>
  <c r="F10" i="7" l="1"/>
  <c r="E10" i="7"/>
  <c r="I68" i="8"/>
  <c r="M58" i="8"/>
  <c r="H21" i="8"/>
  <c r="H25" i="8" s="1"/>
  <c r="H60" i="8"/>
  <c r="J50" i="8"/>
  <c r="J52" i="8" s="1"/>
  <c r="J56" i="8" s="1"/>
  <c r="J68" i="8" s="1"/>
  <c r="M20" i="8"/>
  <c r="D11" i="7"/>
  <c r="D15" i="7" s="1"/>
  <c r="D16" i="7" s="1"/>
  <c r="I20" i="8"/>
  <c r="I58" i="8"/>
  <c r="I59" i="8" s="1"/>
  <c r="I21" i="8" s="1"/>
  <c r="J47" i="8"/>
  <c r="L60" i="8"/>
  <c r="I25" i="8" l="1"/>
  <c r="M59" i="8"/>
  <c r="M21" i="8" s="1"/>
  <c r="E11" i="7"/>
  <c r="E15" i="7" s="1"/>
  <c r="J82" i="8"/>
  <c r="J23" i="8" s="1"/>
  <c r="F13" i="7" s="1"/>
  <c r="I60" i="8"/>
  <c r="J58" i="8"/>
  <c r="J20" i="8"/>
  <c r="E16" i="7" l="1"/>
  <c r="C18" i="7" s="1"/>
  <c r="M60" i="8"/>
  <c r="K82" i="8"/>
  <c r="K23" i="8" s="1"/>
  <c r="K25" i="8" s="1"/>
  <c r="J59" i="8"/>
  <c r="J60" i="8" s="1"/>
  <c r="M82" i="8" l="1"/>
  <c r="L82" i="8"/>
  <c r="L23" i="8" s="1"/>
  <c r="L25" i="8" s="1"/>
  <c r="J21" i="8"/>
  <c r="J25" i="8" s="1"/>
  <c r="F11" i="7"/>
  <c r="F15" i="7" s="1"/>
  <c r="B19" i="7" s="1"/>
  <c r="M23" i="8" l="1"/>
  <c r="M25" i="8" s="1"/>
  <c r="D27" i="8"/>
  <c r="C20" i="7"/>
  <c r="C21" i="7" s="1"/>
  <c r="C23" i="7" s="1"/>
  <c r="F16" i="7"/>
  <c r="C28" i="8" l="1"/>
  <c r="C30" i="8" s="1"/>
  <c r="E100" i="8"/>
  <c r="C94" i="3"/>
  <c r="C33" i="5"/>
  <c r="C40" i="3"/>
  <c r="C36" i="5" s="1"/>
  <c r="C93" i="3" l="1"/>
  <c r="D31" i="8"/>
  <c r="D32" i="8" s="1"/>
  <c r="D34" i="8" s="1"/>
  <c r="D36" i="8" s="1"/>
  <c r="D38" i="8" s="1"/>
  <c r="C34" i="5"/>
  <c r="E99" i="8"/>
  <c r="F75" i="8"/>
  <c r="F8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uss cf" type="6" refreshedVersion="3" background="1" saveData="1">
    <textPr codePage="437" sourceFile="C:\Documents and Settings\jmwolber\Desktop\uss cf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<sst xmlns="http://schemas.openxmlformats.org/spreadsheetml/2006/main" count="608" uniqueCount="407">
  <si>
    <t>CIK</t>
  </si>
  <si>
    <t>NAICS Code</t>
  </si>
  <si>
    <t>ANNUAL FINANCIALS</t>
  </si>
  <si>
    <t>Fiscal Year End Date</t>
  </si>
  <si>
    <t>Currency Units</t>
  </si>
  <si>
    <t>USD Million</t>
  </si>
  <si>
    <t>INCOME STATEMENT</t>
  </si>
  <si>
    <t>Operating Revenue</t>
  </si>
  <si>
    <t>Adjustments to Revenue</t>
  </si>
  <si>
    <t>Cost of Sales</t>
  </si>
  <si>
    <t>Gross Operating Profit</t>
  </si>
  <si>
    <t>R &amp; D Expense</t>
  </si>
  <si>
    <t>Selling, Gen. &amp; Administrative Expense</t>
  </si>
  <si>
    <t>EBITDA</t>
  </si>
  <si>
    <t>Depreciation &amp; Amortization</t>
  </si>
  <si>
    <t>Operating Income After Depreciation</t>
  </si>
  <si>
    <t>Interest Income</t>
  </si>
  <si>
    <t>Other Income, Net</t>
  </si>
  <si>
    <t>Special Income/Charges</t>
  </si>
  <si>
    <t>EBIT</t>
  </si>
  <si>
    <t>Interest Expense</t>
  </si>
  <si>
    <t>Pre-Tax Income (EBT)</t>
  </si>
  <si>
    <t>Income Taxes</t>
  </si>
  <si>
    <t>Minority Interest</t>
  </si>
  <si>
    <t>Net Income from Continuing Operations</t>
  </si>
  <si>
    <t>Net Income from Discontinued Operations</t>
  </si>
  <si>
    <t>Net Income from Total Operations</t>
  </si>
  <si>
    <t>Extraordinary Income Losses</t>
  </si>
  <si>
    <t>Income from Cum. Effect of Acctg. Change</t>
  </si>
  <si>
    <t>Other Gains (Losses)</t>
  </si>
  <si>
    <t>Total Net Income</t>
  </si>
  <si>
    <t>Normalized Income</t>
  </si>
  <si>
    <t>Net Income Available for Common</t>
  </si>
  <si>
    <t>Preferred Dividends</t>
  </si>
  <si>
    <t>Dividends Paid per Share (Currency Unit: Dollars)</t>
  </si>
  <si>
    <t>BALANCE SHEET</t>
  </si>
  <si>
    <t>Current Assets</t>
  </si>
  <si>
    <t>Cash and Equivalent</t>
  </si>
  <si>
    <t>Marketable Securities</t>
  </si>
  <si>
    <t>Receivables</t>
  </si>
  <si>
    <t>Inventories</t>
  </si>
  <si>
    <t>Other Current Assets</t>
  </si>
  <si>
    <t>Total Current Assets</t>
  </si>
  <si>
    <t>Non-Current Assets</t>
  </si>
  <si>
    <t>Gross Fixed Assets</t>
  </si>
  <si>
    <t>Accumulated Depreciation</t>
  </si>
  <si>
    <t>Net Fixed Assets</t>
  </si>
  <si>
    <t>Intangibles</t>
  </si>
  <si>
    <t>Other Non-Current Assets</t>
  </si>
  <si>
    <t>Total Non-Current Assets</t>
  </si>
  <si>
    <t>Total Assets</t>
  </si>
  <si>
    <t>Current Liabilities</t>
  </si>
  <si>
    <t>Accounts Payable</t>
  </si>
  <si>
    <t>Short Term Debt</t>
  </si>
  <si>
    <t>Other Current Liabilities</t>
  </si>
  <si>
    <t>Total Current Liabilities</t>
  </si>
  <si>
    <t>Non-Current Liabilities</t>
  </si>
  <si>
    <t>Long Term Debt</t>
  </si>
  <si>
    <t>Deferred Income Taxes</t>
  </si>
  <si>
    <t>Other Non-Current Liabilities</t>
  </si>
  <si>
    <t>Total Non-Current Liabilities</t>
  </si>
  <si>
    <t>Total Liabilities</t>
  </si>
  <si>
    <t>Stockholder's Equity</t>
  </si>
  <si>
    <t>Preferred Stock Equity</t>
  </si>
  <si>
    <t>Common Stock Equity</t>
  </si>
  <si>
    <t>Common Par</t>
  </si>
  <si>
    <t>Additional Paid in Capital</t>
  </si>
  <si>
    <t>Cumulative Translation Adjustments</t>
  </si>
  <si>
    <t>Retained Earnings</t>
  </si>
  <si>
    <t>Treasury Stock</t>
  </si>
  <si>
    <t>Other Equity Adjustments</t>
  </si>
  <si>
    <t>Total Capitalization</t>
  </si>
  <si>
    <t>Total Equity</t>
  </si>
  <si>
    <t>Total Liabilities &amp; Stock Equity</t>
  </si>
  <si>
    <t>CONSOLIDATED STATEMENT OF CASH FLOWS</t>
  </si>
  <si>
    <t>Year Ended December 31,</t>
  </si>
  <si>
    <t>Operating activities:</t>
  </si>
  <si>
    <t>Adjustments to reconcile net cash provided by operating activities:</t>
  </si>
  <si>
    <t>Investing activities:</t>
  </si>
  <si>
    <t>Financing activities:</t>
  </si>
  <si>
    <t xml:space="preserve">(Dollars in millions) </t>
  </si>
  <si>
    <t xml:space="preserve">Net income  </t>
  </si>
  <si>
    <t xml:space="preserve">Depreciation, depletion and amortization </t>
  </si>
  <si>
    <t>-</t>
  </si>
  <si>
    <t xml:space="preserve">Net cash provided by operating activities </t>
  </si>
  <si>
    <t xml:space="preserve">Capital expenditures </t>
  </si>
  <si>
    <t xml:space="preserve">Net cash used in investing activities </t>
  </si>
  <si>
    <t xml:space="preserve">Common stock issued </t>
  </si>
  <si>
    <t xml:space="preserve">Net cash provided by (used in) financing activities </t>
  </si>
  <si>
    <t xml:space="preserve">Effect of exchange rate changes on cash </t>
  </si>
  <si>
    <t xml:space="preserve">Net (decrease) increase in cash and cash equivalents </t>
  </si>
  <si>
    <t xml:space="preserve">Cash and cash equivalents at beginning of year </t>
  </si>
  <si>
    <t xml:space="preserve">Cash and cash equivalents at end of year  </t>
  </si>
  <si>
    <t>Annual Growth Rate in Sales</t>
  </si>
  <si>
    <t>YoY change in Revenue</t>
  </si>
  <si>
    <t>Operating Margin</t>
  </si>
  <si>
    <t>EBITDA Margin</t>
  </si>
  <si>
    <t>EBITDA/Rev</t>
  </si>
  <si>
    <t>YoY change in COGS</t>
  </si>
  <si>
    <t>YoY change in COGS (%)</t>
  </si>
  <si>
    <t>COGS (% of sales)</t>
  </si>
  <si>
    <t>GS&amp;A (% of sales)</t>
  </si>
  <si>
    <t>Cash &amp; securities (days in sales)</t>
  </si>
  <si>
    <t>A/R (collection period)</t>
  </si>
  <si>
    <t>inventory (days held)</t>
  </si>
  <si>
    <t>Other Ratios</t>
  </si>
  <si>
    <t>Tax/earnings before tax</t>
  </si>
  <si>
    <t>Dividends/earnings after tax</t>
  </si>
  <si>
    <t>ASSETS</t>
  </si>
  <si>
    <t>Current assets / Total Assets</t>
  </si>
  <si>
    <t>Cash/ Total Current Assets</t>
  </si>
  <si>
    <t>A/R / Total Current Assets</t>
  </si>
  <si>
    <t>Inventories/Total Current Assets</t>
  </si>
  <si>
    <t>YoY change in inventory</t>
  </si>
  <si>
    <t>YoY change in inventory (%)</t>
  </si>
  <si>
    <t>SHORT-TERM LIQUIDITY</t>
  </si>
  <si>
    <t>Current Ratio</t>
  </si>
  <si>
    <t>Total Current Assets/Total current liabilities</t>
  </si>
  <si>
    <t>Quick Ratio</t>
  </si>
  <si>
    <t>(Cash+short term investments+A/R)//avg current liabilities</t>
  </si>
  <si>
    <t>Cash flow from operating activities to Avg Current Liabilities</t>
  </si>
  <si>
    <t>Cash Flow from Ops / Avg Current Liabilities</t>
  </si>
  <si>
    <t>LONG-TERM SOLVENCY</t>
  </si>
  <si>
    <t xml:space="preserve">Debt(/equity) ratio </t>
  </si>
  <si>
    <t>total liabilities/total assets
*current and non current liabilities</t>
  </si>
  <si>
    <t>Long-term debt ratio</t>
  </si>
  <si>
    <t>total long-term debt/ total long-term debt + SE</t>
  </si>
  <si>
    <t>Interest Coverage Ratio</t>
  </si>
  <si>
    <t>Long-term debt / cash flow from operations</t>
  </si>
  <si>
    <t>COMMON SIZE INCOME STATEMENT</t>
  </si>
  <si>
    <t>COMMON SIZE BALANCE SHEET</t>
  </si>
  <si>
    <t>Accounts payable (days)</t>
  </si>
  <si>
    <t>cash / sales/365</t>
  </si>
  <si>
    <t>Avg A/R / Sales/365</t>
  </si>
  <si>
    <t>avg inventory / COGS/365</t>
  </si>
  <si>
    <t>Profit Margin</t>
  </si>
  <si>
    <t>OVERALL PERFORMANCE METRICS</t>
  </si>
  <si>
    <t>Total Asset Turnover</t>
  </si>
  <si>
    <t>sales/Avg total assets</t>
  </si>
  <si>
    <t>ROCE</t>
  </si>
  <si>
    <t>after-tax net income of continuing ops - dividends for preferred stock / Avg Comm SE</t>
  </si>
  <si>
    <t>Profit Margin for ROCE</t>
  </si>
  <si>
    <t>after-tax net income of continuing ops - dividends for preferred stock/Sales</t>
  </si>
  <si>
    <t>CASH FLOW</t>
  </si>
  <si>
    <t>Net cash provided by operating activities</t>
  </si>
  <si>
    <t>Net cash used for investing activities</t>
  </si>
  <si>
    <t>Net cash used for financing activities</t>
  </si>
  <si>
    <t>Net increase (decrease) in cash and cash equivalents</t>
  </si>
  <si>
    <t>After Tax Profit Margin for ROA</t>
  </si>
  <si>
    <t xml:space="preserve">ROA (After Tax) </t>
  </si>
  <si>
    <t>ROE</t>
  </si>
  <si>
    <t>Avg Total Assets / Avg Comm SE</t>
  </si>
  <si>
    <t>Capital Structure Leverage Ratio
(Financial Leverage)</t>
  </si>
  <si>
    <t>EBIT / Interest Expense</t>
  </si>
  <si>
    <t>Income per Common share</t>
  </si>
  <si>
    <t xml:space="preserve">       -Basic</t>
  </si>
  <si>
    <t xml:space="preserve">       -Diluted</t>
  </si>
  <si>
    <t>EPS</t>
  </si>
  <si>
    <t>operating profit/rev</t>
  </si>
  <si>
    <t>net income / rev</t>
  </si>
  <si>
    <t>CURRENT ASSETS PERCENTAGES</t>
  </si>
  <si>
    <t>Turnover-control Ratios</t>
  </si>
  <si>
    <t>year</t>
  </si>
  <si>
    <t>DR</t>
  </si>
  <si>
    <t>Cash Flow</t>
  </si>
  <si>
    <t>Constant Growth Model</t>
  </si>
  <si>
    <t>P=Div1 / (R-g)</t>
  </si>
  <si>
    <t>R (Discount Rate)</t>
  </si>
  <si>
    <t>g (constant growth rate)</t>
  </si>
  <si>
    <r>
      <t xml:space="preserve">Dividend expected </t>
    </r>
    <r>
      <rPr>
        <u/>
        <sz val="11"/>
        <color theme="1"/>
        <rFont val="Calibri"/>
        <family val="2"/>
        <scheme val="minor"/>
      </rPr>
      <t xml:space="preserve">next </t>
    </r>
    <r>
      <rPr>
        <sz val="11"/>
        <color theme="1"/>
        <rFont val="Calibri"/>
        <family val="2"/>
        <scheme val="minor"/>
      </rPr>
      <t>period</t>
    </r>
  </si>
  <si>
    <t>GIVEN CASH FLOWS</t>
  </si>
  <si>
    <t>Dividend</t>
  </si>
  <si>
    <t>rate</t>
  </si>
  <si>
    <t>P=Div/ (R-g)</t>
  </si>
  <si>
    <t>P=Div1(1+g) / (R-g)</t>
  </si>
  <si>
    <t>DIFFERENTIAL GROWTH</t>
  </si>
  <si>
    <t>Dividend 0</t>
  </si>
  <si>
    <t>Dividend N</t>
  </si>
  <si>
    <t>g1 (constant growth rate)</t>
  </si>
  <si>
    <t>g2 (constant growth rate)</t>
  </si>
  <si>
    <t>number of periods for term A</t>
  </si>
  <si>
    <t>Phase A</t>
  </si>
  <si>
    <t>Phase B</t>
  </si>
  <si>
    <t>Total</t>
  </si>
  <si>
    <t>g1 (constant growth rate1)</t>
  </si>
  <si>
    <t>g2 (constant growth rate1)</t>
  </si>
  <si>
    <t>CONSTANT GROWTH DIVIDENDS</t>
  </si>
  <si>
    <t>PV of Cash Flows</t>
  </si>
  <si>
    <t>Calculating stock price given Constant Growth Model</t>
  </si>
  <si>
    <t>time 1</t>
  </si>
  <si>
    <t>time 2</t>
  </si>
  <si>
    <t>time 3</t>
  </si>
  <si>
    <t>NPV per year:</t>
  </si>
  <si>
    <t xml:space="preserve">Discount rate (R) </t>
  </si>
  <si>
    <t>-taxes</t>
  </si>
  <si>
    <t>+depreciation</t>
  </si>
  <si>
    <t>-Cap Ex</t>
  </si>
  <si>
    <t>-NWC</t>
  </si>
  <si>
    <t>Sales</t>
  </si>
  <si>
    <t>2009E</t>
  </si>
  <si>
    <t>2010E</t>
  </si>
  <si>
    <t>2011E</t>
  </si>
  <si>
    <t>2012E</t>
  </si>
  <si>
    <t>Tax Rate</t>
  </si>
  <si>
    <t>Pro Forma Data</t>
  </si>
  <si>
    <t>Assumptions</t>
  </si>
  <si>
    <t>Income Tax provisions</t>
  </si>
  <si>
    <t>PRO FORMA BALANCE SHEET</t>
  </si>
  <si>
    <t>Net Working Capital</t>
  </si>
  <si>
    <t>A/R+Inv+other curr assets-A/P-other curr liab</t>
  </si>
  <si>
    <t>Increase in NWC</t>
  </si>
  <si>
    <t>need formula for Cap Ex Estimate
percentage increase of net assets?</t>
  </si>
  <si>
    <t>Dividends Paid</t>
  </si>
  <si>
    <t>Notes</t>
  </si>
  <si>
    <t>Free Cash Flow</t>
  </si>
  <si>
    <t>PV of terminal Value</t>
  </si>
  <si>
    <t>Estimated Value of Operations</t>
  </si>
  <si>
    <t>per share value ($USD)</t>
  </si>
  <si>
    <t>Valuation estimate based on Free Cash Flows</t>
  </si>
  <si>
    <t>Valuation Assumptions</t>
  </si>
  <si>
    <t>Bond Symbol</t>
  </si>
  <si>
    <t>Coupon</t>
  </si>
  <si>
    <t>Maturity</t>
  </si>
  <si>
    <t>Callable</t>
  </si>
  <si>
    <t>Moody's</t>
  </si>
  <si>
    <t>S&amp;P</t>
  </si>
  <si>
    <t>Fitch</t>
  </si>
  <si>
    <t>Price</t>
  </si>
  <si>
    <t>Yield</t>
  </si>
  <si>
    <t>Cost of Average Capital</t>
  </si>
  <si>
    <t>WACC</t>
  </si>
  <si>
    <t>Cost of Common Equity</t>
  </si>
  <si>
    <t>risk free rate</t>
  </si>
  <si>
    <t>Beta(e)</t>
  </si>
  <si>
    <t>market risk premium</t>
  </si>
  <si>
    <t>Equity Coc</t>
  </si>
  <si>
    <t>BOND YIELD + RISK PREMIUM MODEL</t>
  </si>
  <si>
    <t>Cost of Debt</t>
  </si>
  <si>
    <t>Rd</t>
  </si>
  <si>
    <t>tax rate</t>
  </si>
  <si>
    <t>R*d</t>
  </si>
  <si>
    <t>Weights</t>
  </si>
  <si>
    <t>Market Cap</t>
  </si>
  <si>
    <t>LT debt</t>
  </si>
  <si>
    <t>Billion - focus on financing of the assets (disregard pension liabilities)</t>
  </si>
  <si>
    <t>W Debt %</t>
  </si>
  <si>
    <t>W Equity %</t>
  </si>
  <si>
    <t>CAPM</t>
  </si>
  <si>
    <t>CAPITAL ASSET PRICING MODEL (CAPM)</t>
  </si>
  <si>
    <t>(Billions)</t>
  </si>
  <si>
    <t>BY+RP Model</t>
  </si>
  <si>
    <t>Cost of Equity (average of above)</t>
  </si>
  <si>
    <t>Cost of Debt (After Tax)</t>
  </si>
  <si>
    <t>We</t>
  </si>
  <si>
    <t>Wd</t>
  </si>
  <si>
    <t>Perpetual Growth Rate</t>
  </si>
  <si>
    <t>PRO FORMA INCOME STATEMENT (in USD millions except per share amounts)</t>
  </si>
  <si>
    <t>2013E</t>
  </si>
  <si>
    <t>2014E</t>
  </si>
  <si>
    <t>COGS/Sales</t>
  </si>
  <si>
    <t>SG&amp;A/Sales</t>
  </si>
  <si>
    <t>EBIT/Sales</t>
  </si>
  <si>
    <t>YoY Sales Growth</t>
  </si>
  <si>
    <t>Curr assets/Sales</t>
  </si>
  <si>
    <t>Pro-forma Free Cash Flow (USD Millions except per share amounts)</t>
  </si>
  <si>
    <t xml:space="preserve">     EBIT </t>
  </si>
  <si>
    <t xml:space="preserve">     -  Increase in NWC</t>
  </si>
  <si>
    <t xml:space="preserve">     -  Capital Expenditures</t>
  </si>
  <si>
    <t>Value of Firm</t>
  </si>
  <si>
    <t>Value of Equity</t>
  </si>
  <si>
    <t>Shares Outstanding (million)</t>
  </si>
  <si>
    <t>per share (USD) value of firm</t>
  </si>
  <si>
    <t>Company Name</t>
  </si>
  <si>
    <t>Ticker</t>
  </si>
  <si>
    <t>Debt/Equity</t>
  </si>
  <si>
    <t>MV firm/EBIT(1-tax) Multiple</t>
  </si>
  <si>
    <t>Market Cap ($B)</t>
  </si>
  <si>
    <t>Tax rate</t>
  </si>
  <si>
    <t>AVERAGE</t>
  </si>
  <si>
    <t>Value of Marketable Securities</t>
  </si>
  <si>
    <t>Projections</t>
  </si>
  <si>
    <t>Bond Yield</t>
  </si>
  <si>
    <t>Risk Premium</t>
  </si>
  <si>
    <t>INDUSTRY AVERAGE MV firm/EBIT(1-tax) Multiple</t>
  </si>
  <si>
    <t xml:space="preserve">10-yr Treasury </t>
  </si>
  <si>
    <t>SALES &amp; MARGINS</t>
  </si>
  <si>
    <t>SALES &amp; MARGIN RATIOS</t>
  </si>
  <si>
    <t>STD DEV</t>
  </si>
  <si>
    <t>Net Profit Margin</t>
  </si>
  <si>
    <t>Depreciation/Sales</t>
  </si>
  <si>
    <t>2015E</t>
  </si>
  <si>
    <t>AVERAGE YIELD</t>
  </si>
  <si>
    <t xml:space="preserve">    +  Depreciation</t>
  </si>
  <si>
    <t xml:space="preserve">     -  Tax</t>
  </si>
  <si>
    <t>grow at sales rate</t>
  </si>
  <si>
    <t>3-year historical average</t>
  </si>
  <si>
    <t>3-yr historical average</t>
  </si>
  <si>
    <t>3-yr historical average of total current assets/sales</t>
  </si>
  <si>
    <t>Change in Net Fixed Assets/Sales</t>
  </si>
  <si>
    <t>Non-interest bearing current liabilities/Sales</t>
  </si>
  <si>
    <t>Operating lease vehicles, net</t>
  </si>
  <si>
    <t>Solar energy systems, leased and to be leased, net</t>
  </si>
  <si>
    <t>PPE</t>
  </si>
  <si>
    <t>Restricted cash, net of current portion</t>
  </si>
  <si>
    <t>Accrued liabilities</t>
  </si>
  <si>
    <t>Deferred revenue</t>
  </si>
  <si>
    <t>Customer deposits</t>
  </si>
  <si>
    <t>Current portion of long-term debt and capital leases</t>
  </si>
  <si>
    <t>Resale value guarantees, net of current portion</t>
  </si>
  <si>
    <t>Goodwill</t>
  </si>
  <si>
    <t>Auto Sales</t>
  </si>
  <si>
    <t>Auto Leases</t>
  </si>
  <si>
    <t>Total Auto</t>
  </si>
  <si>
    <t>Energy Generation and storage</t>
  </si>
  <si>
    <t>Services &amp; other</t>
  </si>
  <si>
    <t>Restructuring, other</t>
  </si>
  <si>
    <t>1Q19</t>
  </si>
  <si>
    <t>2019E</t>
  </si>
  <si>
    <t>Avg 6% interest for all LTD</t>
  </si>
  <si>
    <t>2018 LT Debt</t>
  </si>
  <si>
    <t>2020E</t>
  </si>
  <si>
    <t>2021E</t>
  </si>
  <si>
    <t>Stock based compensation</t>
  </si>
  <si>
    <t>Amortization of debt discounts and issuance costs</t>
  </si>
  <si>
    <t>inventory write downs</t>
  </si>
  <si>
    <t>Loss on disposals of fixed assets</t>
  </si>
  <si>
    <t>Foreign currency transaction (gains) losses</t>
  </si>
  <si>
    <t>non-cash interest and other operationg activities</t>
  </si>
  <si>
    <t>Loss (gain) related to SolarCity acquiastions</t>
  </si>
  <si>
    <t>Changes in (operating asstes and liabilities:</t>
  </si>
  <si>
    <t>Accounts receivable</t>
  </si>
  <si>
    <t>Inventory</t>
  </si>
  <si>
    <t>Operating Lease vehicles</t>
  </si>
  <si>
    <t>Perpaid expenses and other assets</t>
  </si>
  <si>
    <t>Other assets and MyPower customer notes receivable</t>
  </si>
  <si>
    <t>Accounts Payable and accrued liabilities</t>
  </si>
  <si>
    <t>Deferred revenues</t>
  </si>
  <si>
    <t>cusstomer deposits</t>
  </si>
  <si>
    <t>resale value guarantee</t>
  </si>
  <si>
    <t>Other long-term liabilities</t>
  </si>
  <si>
    <t>Maturities of short-term marketable securities</t>
  </si>
  <si>
    <t>Purchass of solar energy systems, leased and to be leased</t>
  </si>
  <si>
    <t>Business combinations, net of cash aquired</t>
  </si>
  <si>
    <t>Proceeds from issuances of convertible and other debt</t>
  </si>
  <si>
    <t>Repayments of convertible and other dept</t>
  </si>
  <si>
    <t>Repayments of borrowings issued to related parties</t>
  </si>
  <si>
    <t>Collateralized lease (repayments) borrowings</t>
  </si>
  <si>
    <t>Proceeds from exercise of stock options and other stock issuances</t>
  </si>
  <si>
    <t>Principal payment on capital leases</t>
  </si>
  <si>
    <t>Common stock and debt issuance costs</t>
  </si>
  <si>
    <t>Purchases of convertible hedge notes</t>
  </si>
  <si>
    <t>Proceeds from issuacnes of warrantes</t>
  </si>
  <si>
    <t>Payments for settlements of warrants</t>
  </si>
  <si>
    <t>PV of FCFs ('19-'22)</t>
  </si>
  <si>
    <t>2022E</t>
  </si>
  <si>
    <t>TSLA</t>
  </si>
  <si>
    <t>2023E</t>
  </si>
  <si>
    <t>2024E</t>
  </si>
  <si>
    <t>2025E</t>
  </si>
  <si>
    <t>2026+</t>
  </si>
  <si>
    <t>GM</t>
  </si>
  <si>
    <t>F</t>
  </si>
  <si>
    <t>Stock Price (4/29/29)</t>
  </si>
  <si>
    <t>(= ~15.8x multiple)</t>
  </si>
  <si>
    <t>Average TSLA Bond yield</t>
  </si>
  <si>
    <t>PV of FCFs ('19-'25)</t>
  </si>
  <si>
    <t>TESLA</t>
  </si>
  <si>
    <t>Terminal Value (avg of two above)</t>
  </si>
  <si>
    <t>Competitor valuations ( MV firm/EBIT(1-tax rate) )</t>
  </si>
  <si>
    <t>Perpetual growth of 4% (2026+)</t>
  </si>
  <si>
    <t>Tesla Valuation</t>
  </si>
  <si>
    <t>Terminal Value 2023 Estimate</t>
  </si>
  <si>
    <t>PV of FCFs @9% DR</t>
  </si>
  <si>
    <t>336111 -Automobile Manufacturing</t>
  </si>
  <si>
    <t>3711 - Motor Vehicles and Passenger Car Bodies</t>
  </si>
  <si>
    <t>TESLA, INC.</t>
  </si>
  <si>
    <t xml:space="preserve">Tesla Industry Comparables </t>
  </si>
  <si>
    <t>ISIN</t>
  </si>
  <si>
    <t>US88160RAE18</t>
  </si>
  <si>
    <t>USU8810LAA18</t>
  </si>
  <si>
    <t>US88160RAD35</t>
  </si>
  <si>
    <t>US88160RAC51</t>
  </si>
  <si>
    <t>Issued</t>
  </si>
  <si>
    <t>Volume ($B)</t>
  </si>
  <si>
    <t>Issuer and Name</t>
  </si>
  <si>
    <t>TESLA 17/25 REG.S</t>
  </si>
  <si>
    <t>TESLA 2022 CV</t>
  </si>
  <si>
    <t>TESLA 2025 144A</t>
  </si>
  <si>
    <t>TESLA 2021 CV</t>
  </si>
  <si>
    <t>AVERAGE COUPON</t>
  </si>
  <si>
    <t>SUM VOLUME</t>
  </si>
  <si>
    <t>after-tax net income of continuing ops + int exp/ Avg Total Assets</t>
  </si>
  <si>
    <t xml:space="preserve">after-tax net income of continuing ops + int exp (1-0.tax)/ sales
</t>
  </si>
  <si>
    <t>avg acct payable / purchases/365
purchases =COGS+End inv+beg inv</t>
  </si>
  <si>
    <t>10-yr TSLA Bond yield</t>
  </si>
  <si>
    <t>- Weighted Average Cost of Capital Calculations</t>
  </si>
  <si>
    <t xml:space="preserve">- Financial Statements from Operations, Balance Sheet, Cash Flow </t>
  </si>
  <si>
    <t>- Key Ratios</t>
  </si>
  <si>
    <t>- Competitive Summary</t>
  </si>
  <si>
    <t>- Valuation</t>
  </si>
  <si>
    <t>- Pro Forma Data (Forecasts)</t>
  </si>
  <si>
    <t>Terminal Growth Rate (g)</t>
  </si>
  <si>
    <t>- Bond list</t>
  </si>
  <si>
    <t>DOCUMENT CONTENTS</t>
  </si>
  <si>
    <t>grow at 20%</t>
  </si>
  <si>
    <t>Resale Value Guarantees</t>
  </si>
  <si>
    <t>Includes: accrued liabilities, deferred revenue, customer depostis, resale guarantees, Current portion of long-term debt and capital leases)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</si>
</sst>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  <numFmt numFmtId="166" formatCode="0.0%"/>
    <numFmt numFmtId="167" formatCode="0.0"/>
    <numFmt numFmtId="168" formatCode="0.00000"/>
    <numFmt numFmtId="169" formatCode="_(* #,##0.0000_);_(* \(#,##0.0000\);_(* &quot;-&quot;??_);_(@_)"/>
    <numFmt numFmtId="170" formatCode="&quot;$&quot;#,##0.0_);\(&quot;$&quot;#,##0.0\)"/>
    <numFmt numFmtId="171" formatCode="_(* #,##0.0_);_(* \(#,##0.0\);_(* &quot;-&quot;??_);_(@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u val="singleAccounting"/>
      <sz val="10"/>
      <name val="Calibri"/>
      <family val="2"/>
      <scheme val="minor"/>
    </font>
    <font>
      <b/>
      <u val="doubleAccounting"/>
      <sz val="1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u val="doubleAccounting"/>
      <sz val="10"/>
      <name val="Times New Roman"/>
      <family val="1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u val="doubleAccounting"/>
      <sz val="10"/>
      <name val="Calibri"/>
      <family val="2"/>
      <scheme val="minor"/>
    </font>
    <font>
      <sz val="9"/>
      <color indexed="0"/>
      <name val="Helvetica"/>
      <family val="2"/>
    </font>
    <font>
      <b/>
      <u/>
      <sz val="9"/>
      <color indexed="8"/>
      <name val="Helvetic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 val="doubleAccounting"/>
      <sz val="10"/>
      <name val="Geneva"/>
      <family val="2"/>
    </font>
    <font>
      <b/>
      <u val="singleAccounting"/>
      <sz val="1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name val="Geneva"/>
      <family val="2"/>
    </font>
    <font>
      <u/>
      <sz val="10"/>
      <color theme="1"/>
      <name val="Arial Black"/>
      <family val="2"/>
    </font>
    <font>
      <sz val="10"/>
      <color rgb="FF000000"/>
      <name val="Arial"/>
      <family val="2"/>
    </font>
    <font>
      <b/>
      <u/>
      <sz val="14"/>
      <color theme="1"/>
      <name val="Calibri"/>
      <family val="2"/>
      <scheme val="minor"/>
    </font>
    <font>
      <sz val="10"/>
      <name val="Geneva"/>
      <family val="2"/>
    </font>
    <font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Times New Roman"/>
      <family val="1"/>
    </font>
    <font>
      <sz val="10"/>
      <color rgb="FFFF0000"/>
      <name val="Calibri"/>
      <family val="2"/>
      <scheme val="minor"/>
    </font>
    <font>
      <b/>
      <sz val="10"/>
      <color rgb="FF000000"/>
      <name val="Arial"/>
      <family val="2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297">
    <xf numFmtId="0" fontId="0" fillId="0" borderId="0" xfId="0"/>
    <xf numFmtId="0" fontId="4" fillId="0" borderId="0" xfId="4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3" fontId="0" fillId="0" borderId="0" xfId="0" applyNumberFormat="1"/>
    <xf numFmtId="0" fontId="3" fillId="0" borderId="0" xfId="0" applyFont="1"/>
    <xf numFmtId="0" fontId="0" fillId="0" borderId="0" xfId="0" quotePrefix="1"/>
    <xf numFmtId="0" fontId="7" fillId="0" borderId="0" xfId="0" applyFont="1" applyAlignment="1">
      <alignment horizontal="center"/>
    </xf>
    <xf numFmtId="164" fontId="9" fillId="0" borderId="0" xfId="2" applyNumberFormat="1" applyFont="1" applyAlignment="1">
      <alignment horizontal="center"/>
    </xf>
    <xf numFmtId="164" fontId="10" fillId="0" borderId="0" xfId="2" applyNumberFormat="1" applyFont="1" applyAlignment="1">
      <alignment horizontal="center"/>
    </xf>
    <xf numFmtId="164" fontId="10" fillId="0" borderId="0" xfId="2" applyNumberFormat="1" applyFont="1" applyAlignment="1">
      <alignment horizontal="center" vertical="center"/>
    </xf>
    <xf numFmtId="164" fontId="11" fillId="0" borderId="0" xfId="2" applyNumberFormat="1" applyFont="1" applyAlignment="1">
      <alignment horizontal="center" vertical="center"/>
    </xf>
    <xf numFmtId="164" fontId="12" fillId="0" borderId="0" xfId="2" applyNumberFormat="1" applyFont="1" applyAlignment="1">
      <alignment horizontal="center"/>
    </xf>
    <xf numFmtId="164" fontId="12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wrapText="1"/>
    </xf>
    <xf numFmtId="164" fontId="13" fillId="0" borderId="0" xfId="2" applyNumberFormat="1" applyFont="1" applyAlignment="1">
      <alignment wrapText="1"/>
    </xf>
    <xf numFmtId="0" fontId="0" fillId="0" borderId="0" xfId="0" applyAlignment="1"/>
    <xf numFmtId="0" fontId="3" fillId="0" borderId="0" xfId="0" applyFont="1" applyAlignment="1"/>
    <xf numFmtId="165" fontId="0" fillId="0" borderId="0" xfId="2" applyNumberFormat="1" applyFont="1"/>
    <xf numFmtId="164" fontId="0" fillId="0" borderId="0" xfId="2" applyNumberFormat="1" applyFont="1"/>
    <xf numFmtId="164" fontId="14" fillId="0" borderId="0" xfId="2" applyNumberFormat="1" applyFont="1" applyAlignment="1">
      <alignment wrapText="1"/>
    </xf>
    <xf numFmtId="164" fontId="15" fillId="0" borderId="0" xfId="2" applyNumberFormat="1" applyFont="1" applyBorder="1" applyAlignment="1">
      <alignment horizontal="center" vertical="center"/>
    </xf>
    <xf numFmtId="0" fontId="0" fillId="0" borderId="0" xfId="0" applyFont="1"/>
    <xf numFmtId="166" fontId="0" fillId="0" borderId="0" xfId="3" applyNumberFormat="1" applyFont="1"/>
    <xf numFmtId="9" fontId="0" fillId="0" borderId="0" xfId="3" applyFont="1"/>
    <xf numFmtId="0" fontId="8" fillId="0" borderId="0" xfId="0" applyFont="1" applyAlignment="1">
      <alignment wrapText="1"/>
    </xf>
    <xf numFmtId="167" fontId="0" fillId="0" borderId="0" xfId="0" applyNumberFormat="1"/>
    <xf numFmtId="0" fontId="2" fillId="0" borderId="0" xfId="0" applyFont="1"/>
    <xf numFmtId="2" fontId="0" fillId="0" borderId="0" xfId="0" applyNumberFormat="1"/>
    <xf numFmtId="0" fontId="16" fillId="0" borderId="0" xfId="0" applyFont="1" applyAlignment="1">
      <alignment wrapText="1"/>
    </xf>
    <xf numFmtId="166" fontId="7" fillId="0" borderId="0" xfId="3" applyNumberFormat="1" applyFont="1" applyAlignment="1">
      <alignment horizontal="center" vertical="center"/>
    </xf>
    <xf numFmtId="166" fontId="9" fillId="0" borderId="0" xfId="3" applyNumberFormat="1" applyFont="1" applyAlignment="1">
      <alignment horizontal="center" vertical="center"/>
    </xf>
    <xf numFmtId="164" fontId="18" fillId="0" borderId="0" xfId="2" applyNumberFormat="1" applyFont="1" applyAlignment="1">
      <alignment horizontal="center" vertical="center"/>
    </xf>
    <xf numFmtId="0" fontId="0" fillId="0" borderId="0" xfId="0" applyAlignment="1">
      <alignment horizontal="left"/>
    </xf>
    <xf numFmtId="166" fontId="0" fillId="0" borderId="0" xfId="0" applyNumberFormat="1"/>
    <xf numFmtId="168" fontId="0" fillId="0" borderId="0" xfId="0" applyNumberFormat="1"/>
    <xf numFmtId="0" fontId="0" fillId="0" borderId="0" xfId="0" quotePrefix="1" applyAlignment="1">
      <alignment wrapText="1"/>
    </xf>
    <xf numFmtId="0" fontId="8" fillId="0" borderId="0" xfId="0" quotePrefix="1" applyFont="1" applyAlignment="1">
      <alignment wrapText="1"/>
    </xf>
    <xf numFmtId="43" fontId="0" fillId="0" borderId="0" xfId="1" applyFont="1"/>
    <xf numFmtId="169" fontId="0" fillId="0" borderId="0" xfId="1" applyNumberFormat="1" applyFont="1"/>
    <xf numFmtId="0" fontId="0" fillId="0" borderId="0" xfId="0" applyFont="1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10" fontId="0" fillId="0" borderId="0" xfId="3" applyNumberFormat="1" applyFont="1" applyAlignment="1">
      <alignment horizontal="center" wrapText="1"/>
    </xf>
    <xf numFmtId="0" fontId="20" fillId="0" borderId="0" xfId="5" applyFont="1" applyAlignment="1">
      <alignment horizontal="center" wrapText="1"/>
    </xf>
    <xf numFmtId="164" fontId="9" fillId="0" borderId="0" xfId="2" applyNumberFormat="1" applyFont="1" applyAlignment="1">
      <alignment horizontal="center" vertical="center" wrapText="1"/>
    </xf>
    <xf numFmtId="164" fontId="9" fillId="0" borderId="0" xfId="2" applyNumberFormat="1" applyFont="1" applyAlignment="1">
      <alignment horizontal="center" wrapText="1"/>
    </xf>
    <xf numFmtId="166" fontId="2" fillId="0" borderId="0" xfId="3" applyNumberFormat="1" applyFont="1"/>
    <xf numFmtId="43" fontId="16" fillId="0" borderId="0" xfId="1" applyFont="1"/>
    <xf numFmtId="44" fontId="0" fillId="0" borderId="0" xfId="3" applyNumberFormat="1" applyFont="1" applyAlignment="1">
      <alignment horizontal="center" wrapText="1"/>
    </xf>
    <xf numFmtId="44" fontId="0" fillId="0" borderId="0" xfId="2" applyFont="1"/>
    <xf numFmtId="0" fontId="0" fillId="0" borderId="1" xfId="0" applyBorder="1"/>
    <xf numFmtId="44" fontId="0" fillId="0" borderId="1" xfId="2" applyFont="1" applyBorder="1"/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3" applyFont="1" applyAlignment="1">
      <alignment horizontal="center"/>
    </xf>
    <xf numFmtId="44" fontId="1" fillId="0" borderId="0" xfId="2" applyFont="1" applyBorder="1"/>
    <xf numFmtId="44" fontId="0" fillId="0" borderId="1" xfId="2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0" xfId="0" applyFont="1"/>
    <xf numFmtId="0" fontId="5" fillId="0" borderId="0" xfId="0" applyFont="1"/>
    <xf numFmtId="0" fontId="0" fillId="0" borderId="2" xfId="0" applyBorder="1"/>
    <xf numFmtId="164" fontId="2" fillId="0" borderId="0" xfId="2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3" xfId="0" applyFont="1" applyBorder="1"/>
    <xf numFmtId="9" fontId="0" fillId="0" borderId="6" xfId="3" applyFont="1" applyBorder="1"/>
    <xf numFmtId="0" fontId="3" fillId="0" borderId="7" xfId="0" applyFont="1" applyBorder="1"/>
    <xf numFmtId="9" fontId="0" fillId="0" borderId="8" xfId="3" applyFont="1" applyBorder="1"/>
    <xf numFmtId="0" fontId="25" fillId="0" borderId="0" xfId="0" applyFont="1"/>
    <xf numFmtId="165" fontId="26" fillId="0" borderId="0" xfId="2" applyNumberFormat="1" applyFont="1"/>
    <xf numFmtId="164" fontId="16" fillId="0" borderId="0" xfId="2" applyNumberFormat="1" applyFont="1" applyAlignment="1">
      <alignment wrapText="1"/>
    </xf>
    <xf numFmtId="164" fontId="27" fillId="0" borderId="0" xfId="2" applyNumberFormat="1" applyFont="1" applyAlignment="1">
      <alignment wrapText="1"/>
    </xf>
    <xf numFmtId="164" fontId="0" fillId="0" borderId="0" xfId="0" applyNumberFormat="1"/>
    <xf numFmtId="44" fontId="16" fillId="0" borderId="0" xfId="2" applyNumberFormat="1" applyFont="1" applyAlignment="1">
      <alignment wrapText="1"/>
    </xf>
    <xf numFmtId="165" fontId="0" fillId="0" borderId="0" xfId="0" applyNumberFormat="1"/>
    <xf numFmtId="0" fontId="28" fillId="0" borderId="10" xfId="0" applyFont="1" applyBorder="1"/>
    <xf numFmtId="0" fontId="29" fillId="0" borderId="2" xfId="5" applyFont="1" applyBorder="1"/>
    <xf numFmtId="0" fontId="29" fillId="0" borderId="0" xfId="5" applyFont="1" applyFill="1"/>
    <xf numFmtId="165" fontId="14" fillId="0" borderId="0" xfId="2" applyNumberFormat="1" applyFont="1"/>
    <xf numFmtId="165" fontId="14" fillId="0" borderId="2" xfId="2" applyNumberFormat="1" applyFont="1" applyBorder="1"/>
    <xf numFmtId="165" fontId="14" fillId="0" borderId="0" xfId="0" applyNumberFormat="1" applyFont="1"/>
    <xf numFmtId="166" fontId="23" fillId="0" borderId="0" xfId="0" applyNumberFormat="1" applyFont="1" applyAlignment="1">
      <alignment wrapText="1"/>
    </xf>
    <xf numFmtId="0" fontId="30" fillId="0" borderId="2" xfId="0" applyFont="1" applyBorder="1"/>
    <xf numFmtId="44" fontId="13" fillId="0" borderId="11" xfId="2" applyFont="1" applyBorder="1"/>
    <xf numFmtId="165" fontId="26" fillId="0" borderId="11" xfId="2" applyNumberFormat="1" applyFont="1" applyBorder="1"/>
    <xf numFmtId="165" fontId="26" fillId="0" borderId="0" xfId="2" applyNumberFormat="1" applyFont="1" applyBorder="1"/>
    <xf numFmtId="0" fontId="0" fillId="0" borderId="9" xfId="0" applyBorder="1"/>
    <xf numFmtId="0" fontId="3" fillId="0" borderId="0" xfId="0" applyFont="1" applyAlignment="1">
      <alignment wrapText="1"/>
    </xf>
    <xf numFmtId="0" fontId="32" fillId="0" borderId="0" xfId="0" applyFont="1"/>
    <xf numFmtId="10" fontId="0" fillId="0" borderId="1" xfId="0" applyNumberFormat="1" applyBorder="1"/>
    <xf numFmtId="10" fontId="0" fillId="0" borderId="0" xfId="3" applyNumberFormat="1" applyFont="1"/>
    <xf numFmtId="10" fontId="21" fillId="0" borderId="0" xfId="3" applyNumberFormat="1" applyFont="1"/>
    <xf numFmtId="10" fontId="0" fillId="0" borderId="0" xfId="0" applyNumberFormat="1"/>
    <xf numFmtId="10" fontId="21" fillId="0" borderId="0" xfId="0" applyNumberFormat="1" applyFont="1"/>
    <xf numFmtId="9" fontId="2" fillId="0" borderId="0" xfId="3" applyFont="1"/>
    <xf numFmtId="0" fontId="3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0" applyFont="1" applyBorder="1"/>
    <xf numFmtId="9" fontId="0" fillId="0" borderId="0" xfId="3" applyFont="1" applyBorder="1"/>
    <xf numFmtId="0" fontId="25" fillId="0" borderId="3" xfId="0" applyFont="1" applyBorder="1"/>
    <xf numFmtId="0" fontId="25" fillId="0" borderId="5" xfId="0" applyFont="1" applyBorder="1"/>
    <xf numFmtId="0" fontId="23" fillId="0" borderId="5" xfId="0" applyFont="1" applyBorder="1"/>
    <xf numFmtId="0" fontId="25" fillId="0" borderId="12" xfId="0" applyFont="1" applyBorder="1"/>
    <xf numFmtId="0" fontId="23" fillId="0" borderId="11" xfId="0" applyFont="1" applyBorder="1"/>
    <xf numFmtId="10" fontId="25" fillId="0" borderId="4" xfId="0" applyNumberFormat="1" applyFont="1" applyBorder="1"/>
    <xf numFmtId="10" fontId="25" fillId="0" borderId="6" xfId="0" applyNumberFormat="1" applyFont="1" applyBorder="1"/>
    <xf numFmtId="10" fontId="28" fillId="0" borderId="6" xfId="0" applyNumberFormat="1" applyFont="1" applyBorder="1"/>
    <xf numFmtId="166" fontId="25" fillId="0" borderId="6" xfId="0" applyNumberFormat="1" applyFont="1" applyBorder="1"/>
    <xf numFmtId="166" fontId="25" fillId="0" borderId="13" xfId="0" applyNumberFormat="1" applyFont="1" applyBorder="1"/>
    <xf numFmtId="10" fontId="23" fillId="0" borderId="11" xfId="0" applyNumberFormat="1" applyFont="1" applyBorder="1"/>
    <xf numFmtId="0" fontId="0" fillId="0" borderId="16" xfId="0" applyBorder="1" applyAlignment="1">
      <alignment horizontal="center"/>
    </xf>
    <xf numFmtId="0" fontId="29" fillId="0" borderId="0" xfId="5" applyFont="1" applyBorder="1"/>
    <xf numFmtId="0" fontId="23" fillId="0" borderId="17" xfId="0" applyFont="1" applyBorder="1"/>
    <xf numFmtId="0" fontId="17" fillId="0" borderId="2" xfId="5" applyFont="1" applyBorder="1"/>
    <xf numFmtId="0" fontId="9" fillId="0" borderId="0" xfId="5" applyFont="1" applyFill="1" applyBorder="1"/>
    <xf numFmtId="166" fontId="16" fillId="0" borderId="0" xfId="3" applyNumberFormat="1" applyFont="1"/>
    <xf numFmtId="0" fontId="3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165" fontId="9" fillId="0" borderId="0" xfId="2" applyNumberFormat="1" applyFont="1" applyBorder="1"/>
    <xf numFmtId="165" fontId="25" fillId="0" borderId="0" xfId="2" applyNumberFormat="1" applyFont="1" applyBorder="1"/>
    <xf numFmtId="0" fontId="0" fillId="0" borderId="0" xfId="0" applyBorder="1"/>
    <xf numFmtId="165" fontId="10" fillId="0" borderId="0" xfId="2" applyNumberFormat="1" applyFont="1" applyBorder="1"/>
    <xf numFmtId="0" fontId="3" fillId="0" borderId="0" xfId="0" applyFont="1" applyAlignment="1">
      <alignment wrapText="1"/>
    </xf>
    <xf numFmtId="0" fontId="34" fillId="2" borderId="0" xfId="0" applyFont="1" applyFill="1"/>
    <xf numFmtId="0" fontId="31" fillId="0" borderId="1" xfId="0" applyFont="1" applyBorder="1" applyAlignment="1">
      <alignment horizontal="left" wrapText="1" indent="1"/>
    </xf>
    <xf numFmtId="14" fontId="31" fillId="0" borderId="1" xfId="0" applyNumberFormat="1" applyFont="1" applyBorder="1" applyAlignment="1">
      <alignment horizontal="left" wrapText="1" indent="1"/>
    </xf>
    <xf numFmtId="10" fontId="31" fillId="0" borderId="6" xfId="3" applyNumberFormat="1" applyFont="1" applyBorder="1" applyAlignment="1">
      <alignment horizontal="left" wrapText="1" indent="1"/>
    </xf>
    <xf numFmtId="0" fontId="0" fillId="0" borderId="19" xfId="0" applyBorder="1"/>
    <xf numFmtId="0" fontId="31" fillId="0" borderId="19" xfId="0" applyFont="1" applyBorder="1" applyAlignment="1">
      <alignment horizontal="left" wrapText="1" indent="1"/>
    </xf>
    <xf numFmtId="14" fontId="31" fillId="0" borderId="19" xfId="0" applyNumberFormat="1" applyFont="1" applyBorder="1" applyAlignment="1">
      <alignment horizontal="left" wrapText="1" indent="1"/>
    </xf>
    <xf numFmtId="10" fontId="31" fillId="0" borderId="8" xfId="3" applyNumberFormat="1" applyFont="1" applyBorder="1" applyAlignment="1">
      <alignment horizontal="left" wrapText="1" indent="1"/>
    </xf>
    <xf numFmtId="0" fontId="0" fillId="0" borderId="20" xfId="0" applyBorder="1"/>
    <xf numFmtId="0" fontId="31" fillId="0" borderId="20" xfId="0" applyFont="1" applyBorder="1" applyAlignment="1">
      <alignment horizontal="left" wrapText="1" indent="1"/>
    </xf>
    <xf numFmtId="14" fontId="31" fillId="0" borderId="20" xfId="0" applyNumberFormat="1" applyFont="1" applyBorder="1" applyAlignment="1">
      <alignment horizontal="left" wrapText="1" indent="1"/>
    </xf>
    <xf numFmtId="10" fontId="31" fillId="0" borderId="15" xfId="3" applyNumberFormat="1" applyFont="1" applyBorder="1" applyAlignment="1">
      <alignment horizontal="left" wrapText="1" indent="1"/>
    </xf>
    <xf numFmtId="167" fontId="0" fillId="0" borderId="0" xfId="0" applyNumberFormat="1" applyAlignment="1">
      <alignment horizontal="center"/>
    </xf>
    <xf numFmtId="10" fontId="0" fillId="0" borderId="0" xfId="3" applyNumberFormat="1" applyFont="1" applyAlignment="1">
      <alignment horizontal="center"/>
    </xf>
    <xf numFmtId="44" fontId="0" fillId="0" borderId="0" xfId="2" applyFont="1" applyAlignment="1">
      <alignment horizontal="left"/>
    </xf>
    <xf numFmtId="164" fontId="0" fillId="0" borderId="0" xfId="0" applyNumberFormat="1" applyAlignment="1"/>
    <xf numFmtId="166" fontId="0" fillId="0" borderId="0" xfId="3" applyNumberFormat="1" applyFont="1" applyAlignment="1"/>
    <xf numFmtId="164" fontId="0" fillId="0" borderId="0" xfId="2" applyNumberFormat="1" applyFont="1" applyAlignment="1"/>
    <xf numFmtId="164" fontId="13" fillId="0" borderId="0" xfId="2" applyNumberFormat="1" applyFont="1" applyAlignment="1"/>
    <xf numFmtId="0" fontId="22" fillId="0" borderId="0" xfId="0" applyFont="1" applyBorder="1"/>
    <xf numFmtId="164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166" fontId="22" fillId="0" borderId="0" xfId="3" applyNumberFormat="1" applyFont="1" applyAlignment="1">
      <alignment horizontal="center"/>
    </xf>
    <xf numFmtId="17" fontId="3" fillId="0" borderId="0" xfId="0" applyNumberFormat="1" applyFont="1" applyAlignment="1">
      <alignment horizontal="center" wrapText="1"/>
    </xf>
    <xf numFmtId="164" fontId="14" fillId="0" borderId="0" xfId="2" applyNumberFormat="1" applyFont="1" applyAlignment="1">
      <alignment horizontal="center" wrapText="1"/>
    </xf>
    <xf numFmtId="164" fontId="0" fillId="0" borderId="0" xfId="2" applyNumberFormat="1" applyFont="1" applyAlignment="1">
      <alignment horizontal="center" wrapText="1"/>
    </xf>
    <xf numFmtId="164" fontId="13" fillId="0" borderId="0" xfId="2" applyNumberFormat="1" applyFont="1" applyAlignment="1">
      <alignment horizontal="center" wrapText="1"/>
    </xf>
    <xf numFmtId="166" fontId="0" fillId="0" borderId="0" xfId="3" applyNumberFormat="1" applyFont="1" applyAlignment="1">
      <alignment horizontal="center" wrapText="1"/>
    </xf>
    <xf numFmtId="44" fontId="0" fillId="0" borderId="0" xfId="2" applyNumberFormat="1" applyFont="1" applyAlignment="1">
      <alignment horizontal="center" wrapText="1"/>
    </xf>
    <xf numFmtId="44" fontId="0" fillId="0" borderId="0" xfId="2" applyNumberFormat="1" applyFont="1" applyAlignment="1">
      <alignment horizontal="center"/>
    </xf>
    <xf numFmtId="166" fontId="1" fillId="0" borderId="0" xfId="3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66" fontId="3" fillId="0" borderId="0" xfId="3" applyNumberFormat="1" applyFont="1" applyAlignment="1">
      <alignment horizontal="center" wrapText="1"/>
    </xf>
    <xf numFmtId="166" fontId="22" fillId="0" borderId="0" xfId="3" applyNumberFormat="1" applyFont="1" applyAlignment="1">
      <alignment horizontal="center" wrapText="1"/>
    </xf>
    <xf numFmtId="17" fontId="22" fillId="0" borderId="0" xfId="0" applyNumberFormat="1" applyFont="1" applyAlignment="1">
      <alignment horizontal="center" wrapText="1"/>
    </xf>
    <xf numFmtId="17" fontId="22" fillId="0" borderId="0" xfId="0" applyNumberFormat="1" applyFont="1" applyBorder="1" applyAlignment="1">
      <alignment horizontal="center" wrapText="1"/>
    </xf>
    <xf numFmtId="166" fontId="0" fillId="0" borderId="0" xfId="0" applyNumberFormat="1" applyAlignment="1">
      <alignment horizontal="center"/>
    </xf>
    <xf numFmtId="167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2" applyFont="1" applyBorder="1" applyAlignment="1">
      <alignment horizontal="left" vertical="center"/>
    </xf>
    <xf numFmtId="10" fontId="0" fillId="0" borderId="1" xfId="3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36" fillId="0" borderId="0" xfId="0" applyFont="1" applyAlignment="1">
      <alignment horizontal="center"/>
    </xf>
    <xf numFmtId="170" fontId="0" fillId="0" borderId="0" xfId="0" applyNumberFormat="1" applyFill="1"/>
    <xf numFmtId="0" fontId="0" fillId="3" borderId="16" xfId="0" applyFill="1" applyBorder="1" applyAlignment="1">
      <alignment horizontal="center"/>
    </xf>
    <xf numFmtId="0" fontId="0" fillId="3" borderId="0" xfId="0" applyFill="1"/>
    <xf numFmtId="164" fontId="14" fillId="3" borderId="0" xfId="2" applyNumberFormat="1" applyFont="1" applyFill="1" applyAlignment="1">
      <alignment wrapText="1"/>
    </xf>
    <xf numFmtId="164" fontId="0" fillId="3" borderId="0" xfId="2" applyNumberFormat="1" applyFont="1" applyFill="1" applyAlignment="1">
      <alignment wrapText="1"/>
    </xf>
    <xf numFmtId="164" fontId="13" fillId="3" borderId="0" xfId="2" applyNumberFormat="1" applyFont="1" applyFill="1" applyAlignment="1">
      <alignment wrapText="1"/>
    </xf>
    <xf numFmtId="164" fontId="16" fillId="3" borderId="0" xfId="2" applyNumberFormat="1" applyFont="1" applyFill="1" applyAlignment="1">
      <alignment wrapText="1"/>
    </xf>
    <xf numFmtId="164" fontId="27" fillId="3" borderId="0" xfId="2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/>
    <xf numFmtId="0" fontId="34" fillId="3" borderId="0" xfId="0" applyFont="1" applyFill="1"/>
    <xf numFmtId="166" fontId="0" fillId="3" borderId="0" xfId="3" applyNumberFormat="1" applyFont="1" applyFill="1"/>
    <xf numFmtId="166" fontId="16" fillId="3" borderId="0" xfId="3" applyNumberFormat="1" applyFont="1" applyFill="1"/>
    <xf numFmtId="0" fontId="3" fillId="3" borderId="0" xfId="0" applyFont="1" applyFill="1" applyAlignment="1"/>
    <xf numFmtId="164" fontId="3" fillId="3" borderId="0" xfId="2" applyNumberFormat="1" applyFont="1" applyFill="1" applyAlignment="1"/>
    <xf numFmtId="164" fontId="0" fillId="3" borderId="0" xfId="2" applyNumberFormat="1" applyFont="1" applyFill="1" applyAlignment="1"/>
    <xf numFmtId="0" fontId="0" fillId="3" borderId="0" xfId="0" applyFill="1" applyAlignment="1"/>
    <xf numFmtId="164" fontId="0" fillId="3" borderId="0" xfId="0" applyNumberFormat="1" applyFill="1" applyAlignment="1"/>
    <xf numFmtId="166" fontId="0" fillId="3" borderId="0" xfId="3" applyNumberFormat="1" applyFont="1" applyFill="1" applyAlignment="1"/>
    <xf numFmtId="0" fontId="0" fillId="0" borderId="21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/>
    <xf numFmtId="164" fontId="14" fillId="3" borderId="24" xfId="2" applyNumberFormat="1" applyFont="1" applyFill="1" applyBorder="1" applyAlignment="1">
      <alignment wrapText="1"/>
    </xf>
    <xf numFmtId="164" fontId="0" fillId="3" borderId="24" xfId="2" applyNumberFormat="1" applyFont="1" applyFill="1" applyBorder="1" applyAlignment="1">
      <alignment wrapText="1"/>
    </xf>
    <xf numFmtId="164" fontId="13" fillId="3" borderId="24" xfId="2" applyNumberFormat="1" applyFont="1" applyFill="1" applyBorder="1" applyAlignment="1">
      <alignment wrapText="1"/>
    </xf>
    <xf numFmtId="164" fontId="16" fillId="3" borderId="24" xfId="2" applyNumberFormat="1" applyFont="1" applyFill="1" applyBorder="1" applyAlignment="1">
      <alignment wrapText="1"/>
    </xf>
    <xf numFmtId="164" fontId="27" fillId="3" borderId="24" xfId="2" applyNumberFormat="1" applyFont="1" applyFill="1" applyBorder="1" applyAlignment="1">
      <alignment wrapText="1"/>
    </xf>
    <xf numFmtId="0" fontId="3" fillId="3" borderId="24" xfId="0" applyFont="1" applyFill="1" applyBorder="1" applyAlignment="1">
      <alignment wrapText="1"/>
    </xf>
    <xf numFmtId="0" fontId="0" fillId="3" borderId="24" xfId="0" applyFill="1" applyBorder="1" applyAlignment="1">
      <alignment wrapText="1"/>
    </xf>
    <xf numFmtId="0" fontId="2" fillId="3" borderId="24" xfId="0" applyFont="1" applyFill="1" applyBorder="1"/>
    <xf numFmtId="0" fontId="34" fillId="3" borderId="24" xfId="0" applyFont="1" applyFill="1" applyBorder="1"/>
    <xf numFmtId="166" fontId="0" fillId="3" borderId="24" xfId="3" applyNumberFormat="1" applyFont="1" applyFill="1" applyBorder="1"/>
    <xf numFmtId="166" fontId="16" fillId="3" borderId="24" xfId="3" applyNumberFormat="1" applyFont="1" applyFill="1" applyBorder="1"/>
    <xf numFmtId="0" fontId="3" fillId="3" borderId="24" xfId="0" applyFont="1" applyFill="1" applyBorder="1" applyAlignment="1"/>
    <xf numFmtId="164" fontId="3" fillId="3" borderId="24" xfId="2" applyNumberFormat="1" applyFont="1" applyFill="1" applyBorder="1" applyAlignment="1"/>
    <xf numFmtId="164" fontId="0" fillId="3" borderId="24" xfId="2" applyNumberFormat="1" applyFont="1" applyFill="1" applyBorder="1" applyAlignment="1"/>
    <xf numFmtId="0" fontId="0" fillId="3" borderId="24" xfId="0" applyFill="1" applyBorder="1" applyAlignment="1"/>
    <xf numFmtId="164" fontId="0" fillId="3" borderId="24" xfId="0" applyNumberFormat="1" applyFill="1" applyBorder="1" applyAlignment="1"/>
    <xf numFmtId="166" fontId="0" fillId="3" borderId="24" xfId="3" applyNumberFormat="1" applyFont="1" applyFill="1" applyBorder="1" applyAlignment="1"/>
    <xf numFmtId="9" fontId="0" fillId="0" borderId="0" xfId="3" applyFont="1" applyFill="1" applyBorder="1"/>
    <xf numFmtId="0" fontId="0" fillId="0" borderId="0" xfId="0" applyFill="1"/>
    <xf numFmtId="0" fontId="0" fillId="0" borderId="24" xfId="0" applyFill="1" applyBorder="1"/>
    <xf numFmtId="164" fontId="0" fillId="3" borderId="0" xfId="0" applyNumberFormat="1" applyFill="1" applyBorder="1"/>
    <xf numFmtId="164" fontId="9" fillId="3" borderId="0" xfId="5" applyNumberFormat="1" applyFont="1" applyFill="1" applyBorder="1"/>
    <xf numFmtId="0" fontId="35" fillId="0" borderId="0" xfId="0" applyFont="1" applyAlignment="1"/>
    <xf numFmtId="10" fontId="3" fillId="0" borderId="11" xfId="3" applyNumberFormat="1" applyFont="1" applyBorder="1"/>
    <xf numFmtId="166" fontId="0" fillId="3" borderId="0" xfId="3" applyNumberFormat="1" applyFont="1" applyFill="1" applyBorder="1" applyAlignment="1"/>
    <xf numFmtId="164" fontId="10" fillId="0" borderId="2" xfId="2" applyNumberFormat="1" applyFont="1" applyBorder="1"/>
    <xf numFmtId="164" fontId="9" fillId="3" borderId="24" xfId="2" applyNumberFormat="1" applyFont="1" applyFill="1" applyBorder="1"/>
    <xf numFmtId="164" fontId="25" fillId="3" borderId="0" xfId="2" applyNumberFormat="1" applyFont="1" applyFill="1" applyBorder="1"/>
    <xf numFmtId="164" fontId="25" fillId="3" borderId="24" xfId="2" applyNumberFormat="1" applyFont="1" applyFill="1" applyBorder="1"/>
    <xf numFmtId="164" fontId="9" fillId="3" borderId="2" xfId="5" applyNumberFormat="1" applyFont="1" applyFill="1" applyBorder="1"/>
    <xf numFmtId="164" fontId="10" fillId="3" borderId="22" xfId="2" applyNumberFormat="1" applyFont="1" applyFill="1" applyBorder="1"/>
    <xf numFmtId="166" fontId="2" fillId="0" borderId="0" xfId="3" applyNumberFormat="1" applyFont="1" applyAlignment="1"/>
    <xf numFmtId="164" fontId="9" fillId="0" borderId="0" xfId="2" applyNumberFormat="1" applyFont="1" applyAlignment="1">
      <alignment horizontal="center" vertical="center"/>
    </xf>
    <xf numFmtId="164" fontId="3" fillId="0" borderId="0" xfId="0" applyNumberFormat="1" applyFont="1" applyAlignment="1"/>
    <xf numFmtId="166" fontId="16" fillId="2" borderId="0" xfId="3" applyNumberFormat="1" applyFont="1" applyFill="1"/>
    <xf numFmtId="0" fontId="5" fillId="0" borderId="0" xfId="0" applyFont="1" applyAlignment="1">
      <alignment horizont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0" xfId="0" applyFont="1" applyAlignment="1">
      <alignment wrapText="1"/>
    </xf>
    <xf numFmtId="0" fontId="5" fillId="0" borderId="9" xfId="0" applyFont="1" applyBorder="1" applyAlignment="1">
      <alignment horizontal="center" wrapText="1"/>
    </xf>
    <xf numFmtId="43" fontId="31" fillId="0" borderId="1" xfId="1" applyFont="1" applyBorder="1" applyAlignment="1">
      <alignment horizontal="left" wrapText="1" indent="1"/>
    </xf>
    <xf numFmtId="0" fontId="4" fillId="0" borderId="14" xfId="4" applyBorder="1" applyAlignment="1" applyProtection="1"/>
    <xf numFmtId="0" fontId="4" fillId="0" borderId="5" xfId="4" applyBorder="1" applyAlignment="1" applyProtection="1"/>
    <xf numFmtId="0" fontId="38" fillId="0" borderId="0" xfId="0" applyFont="1" applyFill="1" applyBorder="1" applyAlignment="1">
      <alignment horizontal="right" indent="1"/>
    </xf>
    <xf numFmtId="0" fontId="38" fillId="0" borderId="20" xfId="0" applyFont="1" applyBorder="1" applyAlignment="1">
      <alignment horizontal="left" wrapText="1" indent="1"/>
    </xf>
    <xf numFmtId="0" fontId="38" fillId="0" borderId="1" xfId="0" applyFont="1" applyBorder="1" applyAlignment="1">
      <alignment horizontal="left" wrapText="1" indent="1"/>
    </xf>
    <xf numFmtId="0" fontId="38" fillId="0" borderId="19" xfId="0" applyFont="1" applyBorder="1" applyAlignment="1">
      <alignment horizontal="left" wrapText="1" indent="1"/>
    </xf>
    <xf numFmtId="14" fontId="8" fillId="0" borderId="1" xfId="0" applyNumberFormat="1" applyFont="1" applyBorder="1" applyAlignment="1">
      <alignment horizontal="left" wrapText="1" indent="1"/>
    </xf>
    <xf numFmtId="43" fontId="3" fillId="0" borderId="1" xfId="0" applyNumberFormat="1" applyFont="1" applyBorder="1"/>
    <xf numFmtId="0" fontId="5" fillId="0" borderId="0" xfId="0" applyFont="1" applyBorder="1" applyAlignment="1">
      <alignment horizontal="center" wrapText="1"/>
    </xf>
    <xf numFmtId="0" fontId="16" fillId="0" borderId="0" xfId="0" applyFont="1"/>
    <xf numFmtId="0" fontId="16" fillId="0" borderId="0" xfId="0" quotePrefix="1" applyFont="1"/>
    <xf numFmtId="0" fontId="16" fillId="0" borderId="0" xfId="0" quotePrefix="1" applyFont="1" applyAlignment="1">
      <alignment wrapText="1"/>
    </xf>
    <xf numFmtId="0" fontId="0" fillId="0" borderId="7" xfId="0" applyFont="1" applyBorder="1"/>
    <xf numFmtId="0" fontId="23" fillId="0" borderId="3" xfId="0" applyFont="1" applyBorder="1"/>
    <xf numFmtId="10" fontId="23" fillId="0" borderId="4" xfId="0" applyNumberFormat="1" applyFont="1" applyBorder="1"/>
    <xf numFmtId="0" fontId="0" fillId="0" borderId="25" xfId="0" applyBorder="1"/>
    <xf numFmtId="0" fontId="3" fillId="0" borderId="2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3" fillId="0" borderId="0" xfId="0" applyFont="1" applyBorder="1"/>
    <xf numFmtId="166" fontId="33" fillId="0" borderId="0" xfId="5" applyNumberFormat="1" applyFont="1" applyBorder="1"/>
    <xf numFmtId="0" fontId="33" fillId="0" borderId="0" xfId="5" applyFont="1" applyBorder="1"/>
    <xf numFmtId="0" fontId="25" fillId="0" borderId="0" xfId="0" applyFont="1" applyBorder="1"/>
    <xf numFmtId="0" fontId="25" fillId="0" borderId="28" xfId="0" applyFont="1" applyBorder="1"/>
    <xf numFmtId="0" fontId="0" fillId="0" borderId="28" xfId="0" applyBorder="1" applyAlignment="1">
      <alignment horizontal="center"/>
    </xf>
    <xf numFmtId="0" fontId="9" fillId="0" borderId="0" xfId="5" applyFont="1" applyBorder="1"/>
    <xf numFmtId="164" fontId="9" fillId="3" borderId="0" xfId="2" applyNumberFormat="1" applyFont="1" applyFill="1" applyBorder="1"/>
    <xf numFmtId="164" fontId="9" fillId="0" borderId="0" xfId="2" applyNumberFormat="1" applyFont="1" applyBorder="1"/>
    <xf numFmtId="165" fontId="9" fillId="0" borderId="28" xfId="2" applyNumberFormat="1" applyFont="1" applyBorder="1"/>
    <xf numFmtId="164" fontId="0" fillId="0" borderId="0" xfId="0" applyNumberFormat="1" applyBorder="1"/>
    <xf numFmtId="164" fontId="37" fillId="0" borderId="0" xfId="2" applyNumberFormat="1" applyFont="1" applyBorder="1"/>
    <xf numFmtId="165" fontId="25" fillId="0" borderId="28" xfId="2" applyNumberFormat="1" applyFont="1" applyBorder="1"/>
    <xf numFmtId="165" fontId="10" fillId="0" borderId="28" xfId="2" applyNumberFormat="1" applyFont="1" applyBorder="1"/>
    <xf numFmtId="0" fontId="0" fillId="0" borderId="0" xfId="0" applyFill="1" applyBorder="1"/>
    <xf numFmtId="0" fontId="17" fillId="0" borderId="0" xfId="5" applyFont="1" applyFill="1" applyBorder="1"/>
    <xf numFmtId="0" fontId="25" fillId="0" borderId="0" xfId="0" applyFont="1" applyFill="1" applyBorder="1"/>
    <xf numFmtId="165" fontId="24" fillId="0" borderId="0" xfId="0" applyNumberFormat="1" applyFont="1" applyFill="1" applyBorder="1"/>
    <xf numFmtId="166" fontId="23" fillId="0" borderId="0" xfId="0" applyNumberFormat="1" applyFont="1" applyBorder="1" applyAlignment="1">
      <alignment wrapText="1"/>
    </xf>
    <xf numFmtId="165" fontId="25" fillId="0" borderId="0" xfId="2" applyNumberFormat="1" applyFont="1" applyFill="1" applyBorder="1"/>
    <xf numFmtId="165" fontId="9" fillId="0" borderId="0" xfId="2" applyNumberFormat="1" applyFont="1" applyFill="1" applyBorder="1"/>
    <xf numFmtId="0" fontId="39" fillId="0" borderId="0" xfId="0" applyFont="1" applyFill="1" applyBorder="1"/>
    <xf numFmtId="165" fontId="24" fillId="0" borderId="0" xfId="2" applyNumberFormat="1" applyFont="1" applyFill="1" applyBorder="1"/>
    <xf numFmtId="165" fontId="11" fillId="0" borderId="0" xfId="2" applyNumberFormat="1" applyFont="1" applyFill="1" applyBorder="1"/>
    <xf numFmtId="171" fontId="11" fillId="0" borderId="0" xfId="1" applyNumberFormat="1" applyFont="1" applyFill="1" applyBorder="1"/>
    <xf numFmtId="0" fontId="23" fillId="0" borderId="0" xfId="0" applyFont="1" applyBorder="1" applyAlignment="1"/>
    <xf numFmtId="44" fontId="12" fillId="0" borderId="0" xfId="2" applyNumberFormat="1" applyFont="1" applyFill="1" applyBorder="1"/>
    <xf numFmtId="0" fontId="0" fillId="0" borderId="29" xfId="0" applyBorder="1"/>
    <xf numFmtId="0" fontId="3" fillId="0" borderId="9" xfId="0" applyFont="1" applyBorder="1"/>
    <xf numFmtId="9" fontId="0" fillId="0" borderId="9" xfId="3" applyFont="1" applyFill="1" applyBorder="1"/>
    <xf numFmtId="0" fontId="0" fillId="0" borderId="9" xfId="0" applyFill="1" applyBorder="1"/>
    <xf numFmtId="0" fontId="0" fillId="0" borderId="30" xfId="0" applyFill="1" applyBorder="1"/>
    <xf numFmtId="0" fontId="0" fillId="0" borderId="31" xfId="0" applyBorder="1"/>
    <xf numFmtId="166" fontId="1" fillId="0" borderId="4" xfId="3" applyNumberFormat="1" applyFont="1" applyBorder="1"/>
    <xf numFmtId="0" fontId="16" fillId="0" borderId="0" xfId="0" applyFont="1" applyFill="1"/>
    <xf numFmtId="164" fontId="16" fillId="0" borderId="0" xfId="2" applyNumberFormat="1" applyFont="1" applyAlignment="1"/>
    <xf numFmtId="9" fontId="3" fillId="3" borderId="0" xfId="3" applyFont="1" applyFill="1" applyAlignment="1"/>
  </cellXfs>
  <cellStyles count="6">
    <cellStyle name="Comma" xfId="1" builtinId="3"/>
    <cellStyle name="Currency" xfId="2" builtinId="4"/>
    <cellStyle name="Hyperlink" xfId="4" builtinId="8"/>
    <cellStyle name="Normal" xfId="0" builtinId="0"/>
    <cellStyle name="Normal 2" xfId="5" xr:uid="{00000000-0005-0000-0000-000004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</a:t>
            </a:r>
            <a:r>
              <a:rPr lang="en-US" baseline="0"/>
              <a:t>Valuation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Forecasts!$B$19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Forecasts!$C$18:$J$18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2019E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Forecasts!$C$19:$J$19</c:f>
              <c:numCache>
                <c:formatCode>_("$"* #,##0_);_("$"* \(#,##0\);_("$"* "-"??_);_(@_)</c:formatCode>
                <c:ptCount val="8"/>
                <c:pt idx="0">
                  <c:v>6998</c:v>
                </c:pt>
                <c:pt idx="1">
                  <c:v>11759</c:v>
                </c:pt>
                <c:pt idx="2">
                  <c:v>21461</c:v>
                </c:pt>
                <c:pt idx="3">
                  <c:v>27899.3</c:v>
                </c:pt>
                <c:pt idx="4">
                  <c:v>34874.125</c:v>
                </c:pt>
                <c:pt idx="5">
                  <c:v>43592.65625</c:v>
                </c:pt>
                <c:pt idx="6">
                  <c:v>50131.554687499993</c:v>
                </c:pt>
                <c:pt idx="7">
                  <c:v>57651.28789062499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2-42C6-B86C-DC5FF78C41C4}"/>
            </c:ext>
          </c:extLst>
        </c:ser>
        <c:ser>
          <c:idx val="1"/>
          <c:order val="1"/>
          <c:tx>
            <c:strRef>
              <c:f>Forecasts!$B$20</c:f>
              <c:strCache>
                <c:ptCount val="1"/>
                <c:pt idx="0">
                  <c:v>     EBIT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Forecasts!$C$18:$J$18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2019E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Forecasts!$C$20:$J$20</c:f>
              <c:numCache>
                <c:formatCode>_("$"* #,##0_);_("$"* \(#,##0\);_("$"* "-"??_);_(@_)</c:formatCode>
                <c:ptCount val="8"/>
                <c:pt idx="0">
                  <c:v>-746</c:v>
                </c:pt>
                <c:pt idx="1">
                  <c:v>-2206</c:v>
                </c:pt>
                <c:pt idx="2">
                  <c:v>-1004</c:v>
                </c:pt>
                <c:pt idx="3">
                  <c:v>1115.971999999997</c:v>
                </c:pt>
                <c:pt idx="4">
                  <c:v>1394.964999999997</c:v>
                </c:pt>
                <c:pt idx="5">
                  <c:v>3051.4859374999996</c:v>
                </c:pt>
                <c:pt idx="6">
                  <c:v>4010.524375</c:v>
                </c:pt>
                <c:pt idx="7">
                  <c:v>5188.6159101562489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2-42C6-B86C-DC5FF78C41C4}"/>
            </c:ext>
          </c:extLst>
        </c:ser>
        <c:ser>
          <c:idx val="2"/>
          <c:order val="2"/>
          <c:tx>
            <c:strRef>
              <c:f>Forecasts!$B$25</c:f>
              <c:strCache>
                <c:ptCount val="1"/>
                <c:pt idx="0">
                  <c:v>Free Cash 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Forecasts!$C$18:$J$18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2019E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Forecasts!$C$25:$J$25</c:f>
              <c:numCache>
                <c:formatCode>_("$"* #,##0_);_("$"* \(#,##0\);_("$"* "-"??_);_(@_)</c:formatCode>
                <c:ptCount val="8"/>
                <c:pt idx="0">
                  <c:v>-4016</c:v>
                </c:pt>
                <c:pt idx="1">
                  <c:v>-3028</c:v>
                </c:pt>
                <c:pt idx="2">
                  <c:v>-1482</c:v>
                </c:pt>
                <c:pt idx="3">
                  <c:v>166.63871999999674</c:v>
                </c:pt>
                <c:pt idx="4">
                  <c:v>2288.0386319999989</c:v>
                </c:pt>
                <c:pt idx="5">
                  <c:v>2782.5258130500015</c:v>
                </c:pt>
                <c:pt idx="6">
                  <c:v>3257.3662865700007</c:v>
                </c:pt>
                <c:pt idx="7">
                  <c:v>4295.3208401523716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2-42C6-B86C-DC5FF78C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34656"/>
        <c:axId val="423529080"/>
      </c:barChart>
      <c:catAx>
        <c:axId val="4235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9080"/>
        <c:crosses val="autoZero"/>
        <c:auto val="1"/>
        <c:lblAlgn val="ctr"/>
        <c:lblOffset val="100"/>
        <c:noMultiLvlLbl val="0"/>
      </c:catAx>
      <c:valAx>
        <c:axId val="4235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653143</xdr:colOff>
      <xdr:row>25</xdr:row>
      <xdr:rowOff>81645</xdr:rowOff>
    </xdr:from>
    <xdr:to>
      <xdr:col>12</xdr:col>
      <xdr:colOff>250372</xdr:colOff>
      <xdr:row>38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BC1AB-AA16-45C5-B885-2E8B58712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%20Be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E2" t="str">
            <v>X</v>
          </cell>
        </row>
        <row r="3">
          <cell r="D3">
            <v>4.7546684811370588E-2</v>
          </cell>
          <cell r="E3">
            <v>0.21344683534326458</v>
          </cell>
        </row>
        <row r="4">
          <cell r="D4">
            <v>-5.9595830546433914E-3</v>
          </cell>
          <cell r="E4">
            <v>0.16984785615491016</v>
          </cell>
        </row>
        <row r="5">
          <cell r="D5">
            <v>-3.4761162090602316E-2</v>
          </cell>
          <cell r="E5">
            <v>6.3652412710867079E-2</v>
          </cell>
        </row>
        <row r="6">
          <cell r="D6">
            <v>-6.1163474897164116E-2</v>
          </cell>
          <cell r="E6">
            <v>-0.15672814490116616</v>
          </cell>
        </row>
        <row r="7">
          <cell r="D7">
            <v>-8.628488866683881E-3</v>
          </cell>
          <cell r="E7">
            <v>0.23756397134083929</v>
          </cell>
        </row>
        <row r="8">
          <cell r="D8">
            <v>-4.4043423821141348E-2</v>
          </cell>
          <cell r="E8">
            <v>-9.4531974050046319E-2</v>
          </cell>
        </row>
        <row r="9">
          <cell r="D9">
            <v>1.4822335025380884E-2</v>
          </cell>
          <cell r="E9">
            <v>1.8501038323579522E-2</v>
          </cell>
        </row>
        <row r="10">
          <cell r="D10">
            <v>3.579400131615551E-2</v>
          </cell>
          <cell r="E10">
            <v>0.12129551227773061</v>
          </cell>
        </row>
        <row r="11">
          <cell r="D11">
            <v>1.2863592323073991E-2</v>
          </cell>
          <cell r="E11">
            <v>-3.8762844643402183E-2</v>
          </cell>
        </row>
        <row r="12">
          <cell r="D12">
            <v>-3.1981907074200899E-2</v>
          </cell>
          <cell r="E12">
            <v>-9.6183908045976985E-2</v>
          </cell>
        </row>
        <row r="13">
          <cell r="D13">
            <v>-1.7816309730697366E-2</v>
          </cell>
          <cell r="E13">
            <v>-3.8971367974549254E-2</v>
          </cell>
        </row>
        <row r="14">
          <cell r="D14">
            <v>3.2549228600146973E-2</v>
          </cell>
          <cell r="E14">
            <v>0.11443766003545397</v>
          </cell>
        </row>
        <row r="15">
          <cell r="D15">
            <v>4.3290683107413797E-2</v>
          </cell>
          <cell r="E15">
            <v>2.389835635776949E-2</v>
          </cell>
        </row>
        <row r="16">
          <cell r="D16">
            <v>9.9799547916576969E-3</v>
          </cell>
          <cell r="E16">
            <v>0.11829048263419017</v>
          </cell>
        </row>
        <row r="17">
          <cell r="D17">
            <v>-2.1846145288686225E-2</v>
          </cell>
          <cell r="E17">
            <v>6.2163133309378615E-2</v>
          </cell>
        </row>
        <row r="18">
          <cell r="D18">
            <v>1.4059084819854739E-2</v>
          </cell>
          <cell r="E18">
            <v>0.14150943396226401</v>
          </cell>
        </row>
        <row r="19">
          <cell r="D19">
            <v>1.2615751483260995E-2</v>
          </cell>
          <cell r="E19">
            <v>-2.2061772964300119E-2</v>
          </cell>
        </row>
        <row r="20">
          <cell r="D20">
            <v>1.6466609576614388E-2</v>
          </cell>
          <cell r="E20">
            <v>0.1063609467455624</v>
          </cell>
        </row>
        <row r="21">
          <cell r="D21">
            <v>3.1508028596025195E-2</v>
          </cell>
          <cell r="E21">
            <v>0.17198335644937579</v>
          </cell>
        </row>
        <row r="22">
          <cell r="D22">
            <v>2.4566274485741779E-2</v>
          </cell>
          <cell r="E22">
            <v>-8.4235860409146435E-3</v>
          </cell>
        </row>
        <row r="23">
          <cell r="D23">
            <v>2.1274262528785837E-2</v>
          </cell>
          <cell r="E23">
            <v>-7.7691453940066602E-2</v>
          </cell>
        </row>
        <row r="24">
          <cell r="D24">
            <v>5.0858132577547011E-3</v>
          </cell>
          <cell r="E24">
            <v>-0.10054192812321738</v>
          </cell>
        </row>
        <row r="25">
          <cell r="D25">
            <v>8.6608035651192239E-5</v>
          </cell>
          <cell r="E25">
            <v>5.6342271768605068E-2</v>
          </cell>
        </row>
        <row r="26">
          <cell r="D26">
            <v>-3.091690129023883E-2</v>
          </cell>
          <cell r="E26">
            <v>-3.0948905109489111E-2</v>
          </cell>
        </row>
        <row r="27">
          <cell r="D27">
            <v>1.2186928013716125E-2</v>
          </cell>
          <cell r="E27">
            <v>0.12887277521423868</v>
          </cell>
        </row>
        <row r="28">
          <cell r="D28">
            <v>1.1064607311854768E-2</v>
          </cell>
          <cell r="E28">
            <v>0.11339449541284408</v>
          </cell>
        </row>
        <row r="29">
          <cell r="D29">
            <v>4.5309668145754323E-4</v>
          </cell>
          <cell r="E29">
            <v>-8.786610878661083E-2</v>
          </cell>
        </row>
        <row r="30">
          <cell r="D30">
            <v>2.5466838635253009E-2</v>
          </cell>
          <cell r="E30">
            <v>0.24297898897441228</v>
          </cell>
        </row>
        <row r="31">
          <cell r="D31">
            <v>-9.5239619681797283E-4</v>
          </cell>
          <cell r="E31">
            <v>9.8739495798318977E-3</v>
          </cell>
        </row>
        <row r="32">
          <cell r="D32">
            <v>3.518612107604735E-2</v>
          </cell>
          <cell r="E32">
            <v>0.30303859841226388</v>
          </cell>
        </row>
        <row r="33">
          <cell r="D33">
            <v>-1.7740741042146402E-2</v>
          </cell>
          <cell r="E33">
            <v>-0.13742621015348289</v>
          </cell>
        </row>
        <row r="34">
          <cell r="D34">
            <v>6.9489400408087043E-3</v>
          </cell>
          <cell r="E34">
            <v>1.0257633587786197E-2</v>
          </cell>
        </row>
        <row r="35">
          <cell r="D35">
            <v>-1.1222025960556881E-2</v>
          </cell>
          <cell r="E35">
            <v>-1.7116060961312907E-2</v>
          </cell>
        </row>
        <row r="36">
          <cell r="D36">
            <v>3.5968203604375137E-2</v>
          </cell>
          <cell r="E36">
            <v>0.2409077684026768</v>
          </cell>
        </row>
        <row r="37">
          <cell r="D37">
            <v>-1.4267729752415192E-4</v>
          </cell>
          <cell r="E37">
            <v>-0.13578073925069156</v>
          </cell>
        </row>
        <row r="38">
          <cell r="D38">
            <v>2.9952024895189666E-2</v>
          </cell>
          <cell r="E38">
            <v>-6.9925163704396498E-2</v>
          </cell>
        </row>
        <row r="39">
          <cell r="D39">
            <v>-2.010858977291019E-2</v>
          </cell>
          <cell r="E39">
            <v>-0.15909537856440514</v>
          </cell>
        </row>
        <row r="40">
          <cell r="D40">
            <v>-1.9117647058823573E-2</v>
          </cell>
          <cell r="E40">
            <v>-0.18457344451571522</v>
          </cell>
        </row>
        <row r="41">
          <cell r="D41">
            <v>1.8903383646414307E-2</v>
          </cell>
          <cell r="E41">
            <v>0.20386100386100381</v>
          </cell>
        </row>
        <row r="42">
          <cell r="D42">
            <v>-2.5290448214403627E-2</v>
          </cell>
          <cell r="E42">
            <v>1.073170731707318E-2</v>
          </cell>
        </row>
        <row r="43">
          <cell r="D43">
            <v>3.2458128162750732E-2</v>
          </cell>
          <cell r="E43">
            <v>-2.1199388846447675E-2</v>
          </cell>
        </row>
        <row r="44">
          <cell r="D44">
            <v>3.8594938948858459E-2</v>
          </cell>
          <cell r="E44">
            <v>0.42592592592592604</v>
          </cell>
        </row>
        <row r="45">
          <cell r="D45">
            <v>1.4014247519245071E-2</v>
          </cell>
          <cell r="E45">
            <v>-2.3923444976076569E-2</v>
          </cell>
        </row>
        <row r="46">
          <cell r="D46">
            <v>9.3639063971600045E-3</v>
          </cell>
          <cell r="E46">
            <v>1.923597940937416E-2</v>
          </cell>
        </row>
        <row r="47">
          <cell r="D47">
            <v>2.2873325345822426E-3</v>
          </cell>
          <cell r="E47">
            <v>-3.224960671211341E-2</v>
          </cell>
        </row>
        <row r="48">
          <cell r="D48">
            <v>-3.4290522772693732E-2</v>
          </cell>
          <cell r="E48">
            <v>8.5990888382688091E-2</v>
          </cell>
        </row>
        <row r="49">
          <cell r="D49">
            <v>1.7989078059749364E-2</v>
          </cell>
          <cell r="E49">
            <v>0.15678524374176539</v>
          </cell>
        </row>
        <row r="50">
          <cell r="D50">
            <v>1.2083446220536587E-2</v>
          </cell>
          <cell r="E50">
            <v>6.0426126440796368E-2</v>
          </cell>
        </row>
        <row r="51">
          <cell r="D51">
            <v>-1.6790829419024988E-2</v>
          </cell>
          <cell r="E51">
            <v>-0.23182184062248468</v>
          </cell>
        </row>
        <row r="52">
          <cell r="D52">
            <v>-1.6358935839432598E-2</v>
          </cell>
          <cell r="E52">
            <v>1.4149659863945674E-2</v>
          </cell>
        </row>
        <row r="53">
          <cell r="D53">
            <v>1.2209029908144986E-2</v>
          </cell>
          <cell r="E53">
            <v>7.9295154185022199E-2</v>
          </cell>
        </row>
        <row r="54">
          <cell r="D54">
            <v>1.7276422764227695E-2</v>
          </cell>
          <cell r="E54">
            <v>-2.7698458023986516E-2</v>
          </cell>
        </row>
        <row r="55">
          <cell r="D55">
            <v>5.0765450765450693E-2</v>
          </cell>
          <cell r="E55">
            <v>0.40925553319919517</v>
          </cell>
        </row>
        <row r="56">
          <cell r="D56">
            <v>7.1285131006653124E-3</v>
          </cell>
          <cell r="E56">
            <v>5.0739957716702033E-2</v>
          </cell>
        </row>
        <row r="57">
          <cell r="D57">
            <v>5.4961494824141255E-2</v>
          </cell>
          <cell r="E57">
            <v>0.28672470076169754</v>
          </cell>
        </row>
        <row r="58">
          <cell r="D58">
            <v>-1.1944325949147294E-2</v>
          </cell>
          <cell r="E58">
            <v>-1.6295491580663457E-3</v>
          </cell>
        </row>
        <row r="59">
          <cell r="D59">
            <v>1.7873191222950391E-2</v>
          </cell>
          <cell r="E59">
            <v>0.16814720812182737</v>
          </cell>
        </row>
        <row r="60">
          <cell r="D60">
            <v>1.6223704463827593E-2</v>
          </cell>
          <cell r="E60">
            <v>-3.7263286499694681E-2</v>
          </cell>
        </row>
        <row r="61">
          <cell r="D61">
            <v>1.1322242862628284E-2</v>
          </cell>
          <cell r="E61">
            <v>3.9365079365079492E-2</v>
          </cell>
        </row>
        <row r="62">
          <cell r="D62">
            <v>5.0898660733760925E-2</v>
          </cell>
          <cell r="E62">
            <v>9.9860335195530725E-2</v>
          </cell>
        </row>
        <row r="63">
          <cell r="D63">
            <v>8.1044117993822162E-2</v>
          </cell>
          <cell r="E63">
            <v>0.45676500508647</v>
          </cell>
        </row>
      </sheetData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s cf" connectionId="1" xr16:uid="{00000000-0016-0000-0B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ccode.com/business/tesla-motors-7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arkets.businessinsider.com/bonds/tesla_incdl-notes_201717-25_regs-bond-2025-usu8810laa18" TargetMode="External"/><Relationship Id="rId2" Type="http://schemas.openxmlformats.org/officeDocument/2006/relationships/hyperlink" Target="https://markets.businessinsider.com/bonds/tesla_inc-bond-2021-us88160rac51" TargetMode="External"/><Relationship Id="rId1" Type="http://schemas.openxmlformats.org/officeDocument/2006/relationships/hyperlink" Target="https://markets.businessinsider.com/bonds/tesla_incdl-notes_201717-25_144a-bond-2025-us88160rae18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markets.businessinsider.com/bonds/tesla_incdl-conv_notes_201722-bond-2022-us88160rad3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zoomScale="90" zoomScaleNormal="90" workbookViewId="0">
      <selection activeCell="H22" sqref="H22"/>
    </sheetView>
  </sheetViews>
  <sheetFormatPr defaultRowHeight="14.4"/>
  <cols>
    <col min="1" max="1" width="18" customWidth="1"/>
  </cols>
  <sheetData>
    <row r="1" spans="1:6" ht="15.6">
      <c r="A1" s="238" t="s">
        <v>375</v>
      </c>
      <c r="B1" s="238"/>
      <c r="C1" s="238"/>
      <c r="D1" s="238"/>
      <c r="E1" s="238"/>
      <c r="F1" s="238"/>
    </row>
    <row r="2" spans="1:6">
      <c r="A2" s="6" t="s">
        <v>0</v>
      </c>
      <c r="B2" s="34" t="s">
        <v>374</v>
      </c>
    </row>
    <row r="3" spans="1:6">
      <c r="A3" s="6" t="s">
        <v>1</v>
      </c>
      <c r="B3" s="1" t="s">
        <v>373</v>
      </c>
    </row>
    <row r="4" spans="1:6">
      <c r="A4" s="6"/>
    </row>
    <row r="5" spans="1:6">
      <c r="A5" s="6"/>
    </row>
    <row r="8" spans="1:6">
      <c r="E8" s="34"/>
    </row>
    <row r="9" spans="1:6">
      <c r="A9" s="6" t="s">
        <v>403</v>
      </c>
    </row>
    <row r="10" spans="1:6">
      <c r="A10" s="7" t="s">
        <v>396</v>
      </c>
    </row>
    <row r="11" spans="1:6">
      <c r="A11" s="7" t="s">
        <v>397</v>
      </c>
    </row>
    <row r="12" spans="1:6">
      <c r="A12" s="7" t="s">
        <v>402</v>
      </c>
    </row>
    <row r="13" spans="1:6">
      <c r="A13" s="7" t="s">
        <v>395</v>
      </c>
    </row>
    <row r="14" spans="1:6">
      <c r="A14" s="7" t="s">
        <v>398</v>
      </c>
    </row>
    <row r="15" spans="1:6">
      <c r="A15" s="7" t="s">
        <v>400</v>
      </c>
    </row>
    <row r="16" spans="1:6">
      <c r="A16" s="7" t="s">
        <v>399</v>
      </c>
    </row>
  </sheetData>
  <mergeCells count="1">
    <mergeCell ref="A1:F1"/>
  </mergeCells>
  <hyperlinks>
    <hyperlink ref="B3" r:id="rId1" xr:uid="{9B282FC9-0568-4D0C-821A-D0650B21C757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8"/>
  <sheetViews>
    <sheetView zoomScale="80" zoomScaleNormal="80" workbookViewId="0">
      <pane ySplit="4" topLeftCell="A5" activePane="bottomLeft" state="frozen"/>
      <selection pane="bottomLeft" activeCell="N8" sqref="N8"/>
    </sheetView>
  </sheetViews>
  <sheetFormatPr defaultRowHeight="14.4"/>
  <cols>
    <col min="1" max="1" width="5.109375" customWidth="1"/>
    <col min="2" max="2" width="6.6640625" bestFit="1" customWidth="1"/>
    <col min="3" max="3" width="6.6640625" customWidth="1"/>
    <col min="4" max="4" width="8.33203125" customWidth="1"/>
    <col min="7" max="7" width="8.44140625" customWidth="1"/>
  </cols>
  <sheetData>
    <row r="1" spans="1:13" ht="15.6" customHeight="1">
      <c r="A1" s="230" t="str">
        <f>Cover!A1</f>
        <v>TESLA, INC.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</row>
    <row r="2" spans="1:13">
      <c r="A2" t="s">
        <v>74</v>
      </c>
    </row>
    <row r="3" spans="1:13">
      <c r="A3" t="s">
        <v>75</v>
      </c>
    </row>
    <row r="4" spans="1:13">
      <c r="A4" t="s">
        <v>80</v>
      </c>
      <c r="J4" s="8">
        <v>2018</v>
      </c>
      <c r="K4" s="8">
        <v>2017</v>
      </c>
      <c r="L4" s="8">
        <v>2016</v>
      </c>
    </row>
    <row r="5" spans="1:13" ht="16.2">
      <c r="A5" s="6" t="s">
        <v>91</v>
      </c>
      <c r="J5" s="13">
        <v>3965</v>
      </c>
      <c r="K5" s="14">
        <v>3767</v>
      </c>
      <c r="L5" s="14">
        <v>1234</v>
      </c>
      <c r="M5" s="10"/>
    </row>
    <row r="6" spans="1:13" ht="16.2">
      <c r="A6" s="6"/>
      <c r="J6" s="10"/>
      <c r="K6" s="11"/>
      <c r="L6" s="11"/>
      <c r="M6" s="10"/>
    </row>
    <row r="7" spans="1:13">
      <c r="A7" s="6" t="s">
        <v>76</v>
      </c>
    </row>
    <row r="8" spans="1:13">
      <c r="A8" t="s">
        <v>81</v>
      </c>
      <c r="J8" s="9">
        <f>'TSLA Income Statement'!B47</f>
        <v>-1004</v>
      </c>
      <c r="K8" s="9">
        <f>'TSLA Income Statement'!C47</f>
        <v>-2206</v>
      </c>
      <c r="L8" s="9">
        <f>'TSLA Income Statement'!D47</f>
        <v>-746</v>
      </c>
    </row>
    <row r="9" spans="1:13">
      <c r="A9" t="s">
        <v>77</v>
      </c>
      <c r="J9" s="9"/>
      <c r="K9" s="9"/>
      <c r="L9" s="9"/>
    </row>
    <row r="10" spans="1:13">
      <c r="B10" t="s">
        <v>82</v>
      </c>
      <c r="J10" s="9">
        <v>1901</v>
      </c>
      <c r="K10" s="9">
        <v>1636</v>
      </c>
      <c r="L10" s="9">
        <v>947</v>
      </c>
    </row>
    <row r="11" spans="1:13">
      <c r="B11" t="s">
        <v>322</v>
      </c>
      <c r="J11" s="9">
        <v>749</v>
      </c>
      <c r="K11" s="9">
        <v>467</v>
      </c>
      <c r="L11" s="9">
        <v>334</v>
      </c>
    </row>
    <row r="12" spans="1:13">
      <c r="B12" t="s">
        <v>323</v>
      </c>
      <c r="J12" s="9">
        <v>159</v>
      </c>
      <c r="K12" s="9">
        <v>91</v>
      </c>
      <c r="L12" s="9">
        <v>95</v>
      </c>
    </row>
    <row r="13" spans="1:13">
      <c r="B13" t="s">
        <v>324</v>
      </c>
      <c r="J13" s="9">
        <v>85</v>
      </c>
      <c r="K13" s="9">
        <v>132</v>
      </c>
      <c r="L13" s="9">
        <v>66</v>
      </c>
    </row>
    <row r="14" spans="1:13">
      <c r="B14" t="s">
        <v>325</v>
      </c>
      <c r="J14" s="9">
        <v>161</v>
      </c>
      <c r="K14" s="9">
        <v>106</v>
      </c>
      <c r="L14" s="9">
        <v>35</v>
      </c>
    </row>
    <row r="15" spans="1:13">
      <c r="B15" t="s">
        <v>326</v>
      </c>
      <c r="J15" s="9">
        <v>-2</v>
      </c>
      <c r="K15" s="9">
        <v>52</v>
      </c>
      <c r="L15" s="9">
        <v>-29</v>
      </c>
    </row>
    <row r="16" spans="1:13">
      <c r="B16" t="s">
        <v>328</v>
      </c>
      <c r="J16" s="9">
        <v>0</v>
      </c>
      <c r="K16" s="9">
        <v>58</v>
      </c>
      <c r="L16" s="9">
        <v>-89</v>
      </c>
    </row>
    <row r="17" spans="1:12">
      <c r="B17" t="s">
        <v>327</v>
      </c>
      <c r="J17" s="9">
        <v>49</v>
      </c>
      <c r="K17" s="9">
        <v>135</v>
      </c>
      <c r="L17" s="9">
        <v>-15</v>
      </c>
    </row>
    <row r="18" spans="1:12">
      <c r="B18" t="s">
        <v>329</v>
      </c>
      <c r="J18" s="9"/>
      <c r="K18" s="9"/>
      <c r="L18" s="9"/>
    </row>
    <row r="19" spans="1:12">
      <c r="C19" t="s">
        <v>330</v>
      </c>
      <c r="J19" s="9">
        <v>-497</v>
      </c>
      <c r="K19" s="9">
        <v>-25</v>
      </c>
      <c r="L19" s="9">
        <v>-217</v>
      </c>
    </row>
    <row r="20" spans="1:12">
      <c r="C20" t="s">
        <v>331</v>
      </c>
      <c r="J20" s="9">
        <v>-1023</v>
      </c>
      <c r="K20" s="9">
        <v>-178</v>
      </c>
      <c r="L20" s="9">
        <v>-633</v>
      </c>
    </row>
    <row r="21" spans="1:12">
      <c r="C21" t="s">
        <v>332</v>
      </c>
      <c r="J21" s="9">
        <v>-214</v>
      </c>
      <c r="K21" s="9">
        <v>-1522</v>
      </c>
      <c r="L21" s="9">
        <v>-1833</v>
      </c>
    </row>
    <row r="22" spans="1:12">
      <c r="C22" t="s">
        <v>333</v>
      </c>
      <c r="J22" s="9">
        <v>-82</v>
      </c>
      <c r="K22" s="9">
        <v>-72</v>
      </c>
      <c r="L22" s="9">
        <v>57</v>
      </c>
    </row>
    <row r="23" spans="1:12">
      <c r="C23" t="s">
        <v>334</v>
      </c>
      <c r="J23" s="9">
        <v>-207</v>
      </c>
      <c r="K23" s="9">
        <v>-15</v>
      </c>
      <c r="L23" s="9">
        <v>-49</v>
      </c>
    </row>
    <row r="24" spans="1:12">
      <c r="C24" t="s">
        <v>335</v>
      </c>
      <c r="J24" s="9">
        <v>1723</v>
      </c>
      <c r="K24" s="9">
        <v>388</v>
      </c>
      <c r="L24" s="9">
        <v>750</v>
      </c>
    </row>
    <row r="25" spans="1:12">
      <c r="C25" t="s">
        <v>336</v>
      </c>
      <c r="J25" s="9">
        <v>407</v>
      </c>
      <c r="K25" s="9">
        <v>468</v>
      </c>
      <c r="L25" s="9">
        <v>383</v>
      </c>
    </row>
    <row r="26" spans="1:12">
      <c r="C26" t="s">
        <v>337</v>
      </c>
      <c r="J26" s="9">
        <v>-97</v>
      </c>
      <c r="K26" s="9">
        <v>170</v>
      </c>
      <c r="L26" s="9">
        <v>388</v>
      </c>
    </row>
    <row r="27" spans="1:12">
      <c r="C27" s="7" t="s">
        <v>338</v>
      </c>
      <c r="D27" s="7"/>
      <c r="E27" s="7"/>
      <c r="F27" s="7"/>
      <c r="G27" s="7"/>
      <c r="H27" s="7"/>
      <c r="I27" s="7"/>
      <c r="J27" s="9">
        <v>-111</v>
      </c>
      <c r="K27" s="9">
        <v>209</v>
      </c>
      <c r="L27" s="9">
        <v>327</v>
      </c>
    </row>
    <row r="28" spans="1:12">
      <c r="C28" s="7" t="s">
        <v>339</v>
      </c>
      <c r="D28" s="7"/>
      <c r="E28" s="7"/>
      <c r="F28" s="7"/>
      <c r="G28" s="7"/>
      <c r="H28" s="7"/>
      <c r="I28" s="7"/>
      <c r="J28" s="9">
        <v>160</v>
      </c>
      <c r="K28" s="9">
        <v>81</v>
      </c>
      <c r="L28" s="9">
        <v>132</v>
      </c>
    </row>
    <row r="29" spans="1:12" ht="15.6">
      <c r="A29" s="6" t="s">
        <v>84</v>
      </c>
      <c r="J29" s="12">
        <f>SUM(J8:J28)</f>
        <v>2157</v>
      </c>
      <c r="K29" s="12">
        <f>SUM(K8:K28)</f>
        <v>-25</v>
      </c>
      <c r="L29" s="12">
        <f>SUM(L8:L28)</f>
        <v>-97</v>
      </c>
    </row>
    <row r="30" spans="1:12">
      <c r="J30" s="9"/>
      <c r="K30" s="9"/>
      <c r="L30" s="9"/>
    </row>
    <row r="31" spans="1:12">
      <c r="A31" s="6" t="s">
        <v>78</v>
      </c>
    </row>
    <row r="32" spans="1:12">
      <c r="B32" t="s">
        <v>85</v>
      </c>
      <c r="I32" s="74"/>
      <c r="J32" s="9">
        <v>-2100</v>
      </c>
      <c r="K32" s="9">
        <v>-3415</v>
      </c>
      <c r="L32" s="9">
        <v>-1281</v>
      </c>
    </row>
    <row r="33" spans="1:12">
      <c r="B33" t="s">
        <v>340</v>
      </c>
      <c r="J33" s="9">
        <v>0</v>
      </c>
      <c r="K33" s="9">
        <v>0</v>
      </c>
      <c r="L33" s="9">
        <v>17</v>
      </c>
    </row>
    <row r="34" spans="1:12">
      <c r="B34" t="s">
        <v>341</v>
      </c>
      <c r="J34" s="9">
        <v>-219</v>
      </c>
      <c r="K34" s="9">
        <v>-667</v>
      </c>
      <c r="L34" s="9">
        <v>-160</v>
      </c>
    </row>
    <row r="35" spans="1:12">
      <c r="B35" t="s">
        <v>342</v>
      </c>
      <c r="J35" s="9">
        <v>-18</v>
      </c>
      <c r="K35" s="9">
        <v>-115</v>
      </c>
      <c r="L35" s="9">
        <v>343</v>
      </c>
    </row>
    <row r="36" spans="1:12" ht="15.6">
      <c r="A36" s="6" t="s">
        <v>86</v>
      </c>
      <c r="J36" s="12">
        <f>SUM(J32:J35)</f>
        <v>-2337</v>
      </c>
      <c r="K36" s="12">
        <f>SUM(K32:K35)</f>
        <v>-4197</v>
      </c>
      <c r="L36" s="12">
        <f>SUM(L32:L35)</f>
        <v>-1081</v>
      </c>
    </row>
    <row r="37" spans="1:12">
      <c r="J37" s="9"/>
      <c r="K37" s="9"/>
      <c r="L37" s="9"/>
    </row>
    <row r="38" spans="1:12">
      <c r="A38" s="6" t="s">
        <v>79</v>
      </c>
      <c r="J38" s="9"/>
      <c r="K38" s="9"/>
      <c r="L38" s="9"/>
    </row>
    <row r="39" spans="1:12">
      <c r="A39" s="6"/>
      <c r="B39" t="s">
        <v>87</v>
      </c>
      <c r="J39" s="9">
        <v>0</v>
      </c>
      <c r="K39" s="9">
        <v>400</v>
      </c>
      <c r="L39" s="9">
        <v>1701</v>
      </c>
    </row>
    <row r="40" spans="1:12">
      <c r="A40" s="6"/>
      <c r="B40" t="s">
        <v>343</v>
      </c>
      <c r="J40" s="9">
        <v>6176</v>
      </c>
      <c r="K40" s="9">
        <v>7138</v>
      </c>
      <c r="L40" s="9">
        <v>2853</v>
      </c>
    </row>
    <row r="41" spans="1:12">
      <c r="A41" s="6"/>
      <c r="B41" t="s">
        <v>344</v>
      </c>
      <c r="J41" s="9">
        <v>-5247</v>
      </c>
      <c r="K41" s="9">
        <v>-3995</v>
      </c>
      <c r="L41" s="9">
        <v>-1858</v>
      </c>
    </row>
    <row r="42" spans="1:12">
      <c r="A42" s="6"/>
      <c r="B42" t="s">
        <v>345</v>
      </c>
      <c r="J42" s="9">
        <v>-100</v>
      </c>
      <c r="K42" s="9">
        <v>-165</v>
      </c>
      <c r="L42" s="9"/>
    </row>
    <row r="43" spans="1:12">
      <c r="A43" s="6"/>
      <c r="B43" t="s">
        <v>346</v>
      </c>
      <c r="J43" s="9">
        <v>-559</v>
      </c>
      <c r="K43" s="9">
        <v>511</v>
      </c>
      <c r="L43" s="9">
        <v>770</v>
      </c>
    </row>
    <row r="44" spans="1:12">
      <c r="A44" s="6"/>
      <c r="B44" t="s">
        <v>347</v>
      </c>
      <c r="J44" s="9">
        <v>296</v>
      </c>
      <c r="K44" s="9">
        <v>259</v>
      </c>
      <c r="L44" s="9">
        <v>164</v>
      </c>
    </row>
    <row r="45" spans="1:12">
      <c r="A45" s="6"/>
      <c r="B45" t="s">
        <v>348</v>
      </c>
      <c r="J45" s="9">
        <v>-181</v>
      </c>
      <c r="K45" s="9">
        <v>-103</v>
      </c>
      <c r="L45" s="9">
        <v>-47</v>
      </c>
    </row>
    <row r="46" spans="1:12">
      <c r="A46" s="6"/>
      <c r="B46" t="s">
        <v>349</v>
      </c>
      <c r="J46" s="9">
        <v>-15</v>
      </c>
      <c r="K46" s="9">
        <v>-63</v>
      </c>
      <c r="L46" s="9">
        <v>-20</v>
      </c>
    </row>
    <row r="47" spans="1:12" ht="58.2" customHeight="1">
      <c r="B47" t="s">
        <v>350</v>
      </c>
      <c r="J47" s="9">
        <v>0</v>
      </c>
      <c r="K47" s="9">
        <v>-204</v>
      </c>
      <c r="L47" s="9"/>
    </row>
    <row r="48" spans="1:12">
      <c r="B48" s="7" t="s">
        <v>351</v>
      </c>
      <c r="C48" s="7"/>
      <c r="D48" s="7"/>
      <c r="E48" s="7"/>
      <c r="F48" s="7"/>
      <c r="G48" s="7"/>
      <c r="H48" s="7"/>
      <c r="I48" s="7"/>
      <c r="J48" s="9">
        <v>0</v>
      </c>
      <c r="K48" s="9">
        <v>287</v>
      </c>
      <c r="L48" s="9"/>
    </row>
    <row r="49" spans="1:13">
      <c r="B49" t="s">
        <v>352</v>
      </c>
      <c r="J49" s="9">
        <v>0</v>
      </c>
      <c r="K49" s="9">
        <v>53</v>
      </c>
      <c r="L49" s="9"/>
    </row>
    <row r="50" spans="1:13">
      <c r="C50" t="s">
        <v>88</v>
      </c>
      <c r="J50" s="9">
        <f>SUM(J39:J49)</f>
        <v>370</v>
      </c>
      <c r="K50" s="9">
        <f>SUM(K39:K49)</f>
        <v>4118</v>
      </c>
      <c r="L50" s="9">
        <f>SUM(L39:L49)</f>
        <v>3563</v>
      </c>
    </row>
    <row r="51" spans="1:13" ht="16.2">
      <c r="A51" s="6" t="s">
        <v>89</v>
      </c>
      <c r="J51" s="10">
        <v>-22</v>
      </c>
      <c r="K51" s="11">
        <v>40</v>
      </c>
      <c r="L51" s="11">
        <v>-7</v>
      </c>
      <c r="M51" s="10"/>
    </row>
    <row r="52" spans="1:13" ht="16.2">
      <c r="A52" s="6"/>
      <c r="J52" s="10"/>
      <c r="K52" s="11"/>
      <c r="L52" s="11"/>
      <c r="M52" s="10"/>
    </row>
    <row r="53" spans="1:13" ht="15.6">
      <c r="A53" s="6" t="s">
        <v>90</v>
      </c>
      <c r="J53" s="12">
        <v>311</v>
      </c>
      <c r="K53" s="12">
        <v>198</v>
      </c>
      <c r="L53" s="12">
        <v>2533</v>
      </c>
      <c r="M53" s="12"/>
    </row>
    <row r="54" spans="1:13" ht="15.6">
      <c r="A54" s="6"/>
      <c r="J54" s="12"/>
      <c r="K54" s="12"/>
      <c r="L54" s="12"/>
      <c r="M54" s="12"/>
    </row>
    <row r="55" spans="1:13" ht="15.6">
      <c r="A55" s="6" t="s">
        <v>92</v>
      </c>
      <c r="J55" s="12">
        <f>J5+J53</f>
        <v>4276</v>
      </c>
      <c r="K55" s="12">
        <f>K5+K53</f>
        <v>3965</v>
      </c>
      <c r="L55" s="12">
        <f>L5+L53</f>
        <v>3767</v>
      </c>
      <c r="M55" s="12"/>
    </row>
    <row r="56" spans="1:13">
      <c r="K56" s="5"/>
      <c r="L56" s="5"/>
    </row>
    <row r="58" spans="1:13">
      <c r="J58" s="74"/>
      <c r="K58" s="74"/>
      <c r="L58" s="74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workbookViewId="0">
      <selection activeCell="E48" sqref="E48"/>
    </sheetView>
  </sheetViews>
  <sheetFormatPr defaultRowHeight="14.4"/>
  <cols>
    <col min="2" max="2" width="15.6640625" customWidth="1"/>
    <col min="3" max="3" width="18.5546875" customWidth="1"/>
    <col min="9" max="9" width="28.44140625" customWidth="1"/>
  </cols>
  <sheetData>
    <row r="1" spans="1:6">
      <c r="A1" s="6" t="s">
        <v>170</v>
      </c>
    </row>
    <row r="2" spans="1:6">
      <c r="B2" s="6" t="s">
        <v>162</v>
      </c>
      <c r="C2" t="s">
        <v>164</v>
      </c>
    </row>
    <row r="3" spans="1:6">
      <c r="B3">
        <v>0</v>
      </c>
      <c r="C3" s="51">
        <v>-10000</v>
      </c>
    </row>
    <row r="4" spans="1:6">
      <c r="B4">
        <v>1</v>
      </c>
      <c r="C4" s="51">
        <v>2000</v>
      </c>
    </row>
    <row r="5" spans="1:6">
      <c r="B5">
        <v>2</v>
      </c>
      <c r="C5" s="51">
        <v>2000</v>
      </c>
    </row>
    <row r="6" spans="1:6">
      <c r="B6">
        <v>3</v>
      </c>
      <c r="C6" s="51">
        <v>4000</v>
      </c>
      <c r="E6" t="s">
        <v>163</v>
      </c>
      <c r="F6" s="25">
        <v>0.1</v>
      </c>
    </row>
    <row r="7" spans="1:6">
      <c r="B7">
        <v>4</v>
      </c>
      <c r="C7" s="51">
        <v>4000</v>
      </c>
    </row>
    <row r="8" spans="1:6">
      <c r="B8">
        <v>5</v>
      </c>
      <c r="C8" s="51">
        <v>5000</v>
      </c>
    </row>
    <row r="10" spans="1:6">
      <c r="C10" s="53">
        <f>NPV(F6,C4:C8)+C3</f>
        <v>2312.9940205276562</v>
      </c>
    </row>
    <row r="13" spans="1:6">
      <c r="A13" s="6" t="s">
        <v>186</v>
      </c>
    </row>
    <row r="14" spans="1:6">
      <c r="C14" t="s">
        <v>173</v>
      </c>
    </row>
    <row r="15" spans="1:6">
      <c r="B15" t="s">
        <v>172</v>
      </c>
      <c r="C15" s="25">
        <v>0.25</v>
      </c>
    </row>
    <row r="16" spans="1:6">
      <c r="B16" t="s">
        <v>162</v>
      </c>
      <c r="C16" t="s">
        <v>171</v>
      </c>
    </row>
    <row r="17" spans="1:5">
      <c r="B17">
        <v>0</v>
      </c>
      <c r="C17" s="51">
        <v>1.59</v>
      </c>
    </row>
    <row r="18" spans="1:5">
      <c r="B18">
        <v>1</v>
      </c>
      <c r="C18" s="51">
        <f>C$17*(1+$C$15)</f>
        <v>1.9875</v>
      </c>
    </row>
    <row r="19" spans="1:5">
      <c r="B19">
        <v>2</v>
      </c>
      <c r="C19" s="51">
        <f>C$17*(1+$C$15)^2</f>
        <v>2.484375</v>
      </c>
    </row>
    <row r="20" spans="1:5">
      <c r="B20">
        <v>3</v>
      </c>
      <c r="C20" s="51">
        <f>C$17*(1+$C$15)^3</f>
        <v>3.10546875</v>
      </c>
    </row>
    <row r="21" spans="1:5">
      <c r="B21">
        <v>4</v>
      </c>
      <c r="C21" s="51">
        <f>C$17*(1+$C$15)^4</f>
        <v>3.8818359375</v>
      </c>
    </row>
    <row r="23" spans="1:5">
      <c r="A23" s="6" t="s">
        <v>188</v>
      </c>
    </row>
    <row r="24" spans="1:5">
      <c r="B24" s="53">
        <f>B25/(B26-B27)</f>
        <v>0</v>
      </c>
      <c r="C24" t="s">
        <v>166</v>
      </c>
    </row>
    <row r="25" spans="1:5">
      <c r="B25" s="51">
        <v>0</v>
      </c>
      <c r="C25" t="s">
        <v>169</v>
      </c>
    </row>
    <row r="26" spans="1:5">
      <c r="B26" s="25">
        <v>0.1</v>
      </c>
      <c r="C26" t="s">
        <v>167</v>
      </c>
    </row>
    <row r="27" spans="1:5">
      <c r="B27" s="25">
        <v>0.05</v>
      </c>
      <c r="C27" t="s">
        <v>168</v>
      </c>
    </row>
    <row r="30" spans="1:5">
      <c r="A30" s="6" t="s">
        <v>187</v>
      </c>
    </row>
    <row r="31" spans="1:5">
      <c r="B31" s="53">
        <f>C18/(1+B26) + C19/((1+B26)^2) + (C20+B24)/((1+B26)^3)</f>
        <v>6.1932052967693449</v>
      </c>
    </row>
    <row r="32" spans="1:5">
      <c r="B32" s="57" t="s">
        <v>192</v>
      </c>
      <c r="C32" t="s">
        <v>189</v>
      </c>
      <c r="D32" t="s">
        <v>190</v>
      </c>
      <c r="E32" t="s">
        <v>191</v>
      </c>
    </row>
    <row r="33" spans="1:9">
      <c r="C33" s="54">
        <f>C18/(1+B26)</f>
        <v>1.8068181818181817</v>
      </c>
      <c r="D33" s="54">
        <f>C19/((1+B26)^2)</f>
        <v>2.0532024793388426</v>
      </c>
      <c r="E33" s="54">
        <f>(C20+B24)/((1+B26)^3)</f>
        <v>2.3331846356123207</v>
      </c>
    </row>
    <row r="36" spans="1:9">
      <c r="A36" s="6" t="s">
        <v>165</v>
      </c>
      <c r="G36" s="6" t="s">
        <v>165</v>
      </c>
    </row>
    <row r="37" spans="1:9">
      <c r="B37" s="52">
        <f>B38*(1+B40)/(B39-B40)</f>
        <v>18.75</v>
      </c>
      <c r="C37" t="s">
        <v>174</v>
      </c>
      <c r="H37" s="52">
        <f>H38*(1+H40)/(H39-H40)</f>
        <v>-29.166666666666668</v>
      </c>
      <c r="I37" t="s">
        <v>174</v>
      </c>
    </row>
    <row r="38" spans="1:9">
      <c r="B38" s="51">
        <v>5</v>
      </c>
      <c r="C38" t="s">
        <v>169</v>
      </c>
      <c r="H38" s="51">
        <v>2.8</v>
      </c>
      <c r="I38" t="s">
        <v>169</v>
      </c>
    </row>
    <row r="39" spans="1:9">
      <c r="B39" s="25">
        <v>0.14000000000000001</v>
      </c>
      <c r="C39" t="s">
        <v>167</v>
      </c>
      <c r="H39" s="25">
        <v>0.13</v>
      </c>
      <c r="I39" t="s">
        <v>167</v>
      </c>
    </row>
    <row r="40" spans="1:9">
      <c r="B40" s="25">
        <v>-0.1</v>
      </c>
      <c r="C40" t="s">
        <v>168</v>
      </c>
      <c r="H40" s="25">
        <v>0.25</v>
      </c>
      <c r="I40" t="s">
        <v>184</v>
      </c>
    </row>
    <row r="41" spans="1:9">
      <c r="H41">
        <v>7.0000000000000007E-2</v>
      </c>
      <c r="I41" t="s">
        <v>185</v>
      </c>
    </row>
    <row r="42" spans="1:9">
      <c r="A42" s="6" t="s">
        <v>175</v>
      </c>
    </row>
    <row r="43" spans="1:9">
      <c r="B43" s="58">
        <f>((B46*(1+B48))/(B50-B48))*(1-(((1+B48)^B47)/((1+B50)^B47))) + (B49/(B50-B51))/(1+B50)^B47</f>
        <v>38.98668123762036</v>
      </c>
      <c r="C43" t="s">
        <v>183</v>
      </c>
    </row>
    <row r="44" spans="1:9">
      <c r="B44" s="54">
        <f>((B46*(1+B48))/(B50-B48))*(1-(((1+B48)^B47)/((1+B50)^B47)))</f>
        <v>6.5406113591346751</v>
      </c>
      <c r="C44" t="s">
        <v>181</v>
      </c>
    </row>
    <row r="45" spans="1:9">
      <c r="B45" s="54">
        <f>(B49/(B50-B51))/(1+B50)^B47</f>
        <v>32.446069878485687</v>
      </c>
      <c r="C45" t="s">
        <v>182</v>
      </c>
    </row>
    <row r="46" spans="1:9">
      <c r="B46" s="54">
        <v>1</v>
      </c>
      <c r="C46" t="s">
        <v>176</v>
      </c>
    </row>
    <row r="47" spans="1:9">
      <c r="B47" s="55">
        <v>5</v>
      </c>
      <c r="C47" t="s">
        <v>180</v>
      </c>
    </row>
    <row r="48" spans="1:9">
      <c r="B48" s="56">
        <v>0.2</v>
      </c>
      <c r="C48" t="s">
        <v>178</v>
      </c>
    </row>
    <row r="49" spans="2:3">
      <c r="B49" s="54">
        <f>B46*((1+B48)^B47)*(1+B51)</f>
        <v>2.6127359999999999</v>
      </c>
      <c r="C49" t="s">
        <v>177</v>
      </c>
    </row>
    <row r="50" spans="2:3">
      <c r="B50" s="56">
        <v>0.1</v>
      </c>
      <c r="C50" t="s">
        <v>167</v>
      </c>
    </row>
    <row r="51" spans="2:3">
      <c r="B51" s="56">
        <v>0.05</v>
      </c>
      <c r="C51" t="s">
        <v>179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zoomScale="80" zoomScaleNormal="80" workbookViewId="0">
      <pane ySplit="5" topLeftCell="A6" activePane="bottomLeft" state="frozen"/>
      <selection pane="bottomLeft" activeCell="C30" sqref="C30"/>
    </sheetView>
  </sheetViews>
  <sheetFormatPr defaultRowHeight="14.4"/>
  <cols>
    <col min="1" max="1" width="28.88671875" customWidth="1"/>
    <col min="2" max="2" width="12.88671875" customWidth="1"/>
    <col min="3" max="3" width="12.33203125" bestFit="1" customWidth="1"/>
    <col min="4" max="6" width="11.5546875" bestFit="1" customWidth="1"/>
    <col min="8" max="8" width="34" customWidth="1"/>
  </cols>
  <sheetData>
    <row r="1" spans="1:8" ht="15.6">
      <c r="A1" s="62" t="s">
        <v>370</v>
      </c>
      <c r="B1" s="6"/>
    </row>
    <row r="2" spans="1:8">
      <c r="A2" s="61"/>
      <c r="B2" s="6"/>
    </row>
    <row r="3" spans="1:8" ht="15" thickBot="1">
      <c r="A3" s="61" t="s">
        <v>219</v>
      </c>
      <c r="B3" s="6"/>
    </row>
    <row r="4" spans="1:8">
      <c r="A4" s="66" t="s">
        <v>401</v>
      </c>
      <c r="B4" s="293">
        <v>6.5000000000000002E-2</v>
      </c>
    </row>
    <row r="5" spans="1:8" ht="15" thickBot="1">
      <c r="A5" s="68" t="s">
        <v>193</v>
      </c>
      <c r="B5" s="69">
        <v>0.09</v>
      </c>
    </row>
    <row r="6" spans="1:8">
      <c r="A6" s="6"/>
      <c r="B6" s="25"/>
    </row>
    <row r="7" spans="1:8" s="63" customFormat="1" ht="16.2">
      <c r="A7" s="84" t="s">
        <v>218</v>
      </c>
    </row>
    <row r="8" spans="1:8" ht="15" thickBot="1">
      <c r="B8" s="60" t="str">
        <f>Forecasts!F44</f>
        <v>2019E</v>
      </c>
      <c r="C8" s="60" t="str">
        <f>Forecasts!G44</f>
        <v>2020E</v>
      </c>
      <c r="D8" s="60" t="str">
        <f>Forecasts!H44</f>
        <v>2021E</v>
      </c>
      <c r="E8" s="60" t="str">
        <f>Forecasts!I44</f>
        <v>2022E</v>
      </c>
      <c r="F8" s="60" t="s">
        <v>356</v>
      </c>
      <c r="G8" s="59"/>
      <c r="H8" s="77" t="s">
        <v>213</v>
      </c>
    </row>
    <row r="9" spans="1:8">
      <c r="A9" t="s">
        <v>198</v>
      </c>
      <c r="B9" s="19">
        <f>Forecasts!F45</f>
        <v>27899.3</v>
      </c>
      <c r="C9" s="19">
        <f>Forecasts!G45</f>
        <v>34874.125</v>
      </c>
      <c r="D9" s="19">
        <f>Forecasts!H45</f>
        <v>43592.65625</v>
      </c>
      <c r="E9" s="19">
        <f>Forecasts!I45</f>
        <v>50131.554687499993</v>
      </c>
      <c r="F9" s="19">
        <f>Forecasts!J45</f>
        <v>57651.28789062499</v>
      </c>
    </row>
    <row r="10" spans="1:8">
      <c r="A10" t="s">
        <v>19</v>
      </c>
      <c r="B10" s="19">
        <f>Forecasts!F56</f>
        <v>1115.971999999997</v>
      </c>
      <c r="C10" s="19">
        <f>Forecasts!G56</f>
        <v>1394.964999999997</v>
      </c>
      <c r="D10" s="19">
        <f>Forecasts!H56</f>
        <v>3051.4859374999996</v>
      </c>
      <c r="E10" s="19">
        <f>Forecasts!I56</f>
        <v>4010.524375</v>
      </c>
      <c r="F10" s="19">
        <f>Forecasts!I56</f>
        <v>4010.524375</v>
      </c>
    </row>
    <row r="11" spans="1:8">
      <c r="A11" s="7" t="s">
        <v>194</v>
      </c>
      <c r="B11" s="19">
        <f>Forecasts!F59</f>
        <v>84.07727999999949</v>
      </c>
      <c r="C11" s="19">
        <f>Forecasts!G59</f>
        <v>116.77636799999949</v>
      </c>
      <c r="D11" s="19">
        <f>Forecasts!H59</f>
        <v>394.80253694999999</v>
      </c>
      <c r="E11" s="19">
        <f>Forecasts!I59</f>
        <v>544.25971593000008</v>
      </c>
      <c r="F11" s="19">
        <f>Forecasts!J59</f>
        <v>729.67099152262483</v>
      </c>
    </row>
    <row r="12" spans="1:8">
      <c r="A12" s="7" t="s">
        <v>195</v>
      </c>
      <c r="B12" s="19">
        <f>Forecasts!F51</f>
        <v>2231.944</v>
      </c>
      <c r="C12" s="19">
        <f>Forecasts!G51</f>
        <v>2789.93</v>
      </c>
      <c r="D12" s="19">
        <f>Forecasts!H51</f>
        <v>2179.6328125</v>
      </c>
      <c r="E12" s="19">
        <f>Forecasts!I51</f>
        <v>2005.2621874999998</v>
      </c>
      <c r="F12" s="19">
        <f>Forecasts!J51</f>
        <v>1729.5386367187496</v>
      </c>
    </row>
    <row r="13" spans="1:8" ht="28.8">
      <c r="A13" s="7" t="s">
        <v>196</v>
      </c>
      <c r="B13" s="76">
        <f>Forecasts!F23</f>
        <v>2266</v>
      </c>
      <c r="C13" s="76">
        <f>Forecasts!G23</f>
        <v>2447.2799999999988</v>
      </c>
      <c r="D13" s="76">
        <f>Forecasts!H23</f>
        <v>2887.790399999998</v>
      </c>
      <c r="E13" s="76">
        <f>Forecasts!I23</f>
        <v>2839.6605599999966</v>
      </c>
      <c r="F13" s="76">
        <f>Forecasts!J23</f>
        <v>2612.4877152000008</v>
      </c>
      <c r="H13" s="2" t="s">
        <v>211</v>
      </c>
    </row>
    <row r="14" spans="1:8">
      <c r="A14" s="7" t="s">
        <v>197</v>
      </c>
      <c r="B14" s="19">
        <f>Forecasts!F118</f>
        <v>831.20000000000073</v>
      </c>
      <c r="C14" s="19">
        <f>Forecasts!G118</f>
        <v>-667.20000000000073</v>
      </c>
      <c r="D14" s="19">
        <f>Forecasts!H118</f>
        <v>-834</v>
      </c>
      <c r="E14" s="19">
        <f>Forecasts!I118</f>
        <v>-625.49999999999818</v>
      </c>
      <c r="F14" s="19">
        <f>Forecasts!J118</f>
        <v>-719.32499999999891</v>
      </c>
    </row>
    <row r="15" spans="1:8" ht="16.2">
      <c r="A15" s="78" t="s">
        <v>214</v>
      </c>
      <c r="B15" s="81">
        <f>B10-B11+B12-B13-B14</f>
        <v>166.63871999999674</v>
      </c>
      <c r="C15" s="81">
        <f>C10-C11+C12-C13-C14</f>
        <v>2288.0386319999989</v>
      </c>
      <c r="D15" s="81">
        <f>D10-D11+D12-D13-D14</f>
        <v>2782.5258130500015</v>
      </c>
      <c r="E15" s="81">
        <f>E10-E11+E12-E13-E14</f>
        <v>3257.3662865700007</v>
      </c>
      <c r="F15" s="81">
        <f>F10-F11+F12-F13-F14</f>
        <v>3117.2293049961227</v>
      </c>
    </row>
    <row r="16" spans="1:8" ht="15.6">
      <c r="A16" s="79" t="s">
        <v>372</v>
      </c>
      <c r="B16" s="71">
        <f>B15/(1+$B$5)</f>
        <v>152.87955963302451</v>
      </c>
      <c r="C16" s="71">
        <f>C15/(1+$B$5)^2</f>
        <v>1925.7963403753881</v>
      </c>
      <c r="D16" s="71">
        <f>D15/(1+$B$5)^3</f>
        <v>2148.6204656806922</v>
      </c>
      <c r="E16" s="71">
        <f>E15/(1+$B$5)^4</f>
        <v>2307.6003990800077</v>
      </c>
      <c r="F16" s="71">
        <f>F15/(1+$B$5)^5</f>
        <v>2025.9851636059575</v>
      </c>
    </row>
    <row r="18" spans="1:6" ht="16.2">
      <c r="A18" s="79" t="s">
        <v>353</v>
      </c>
      <c r="C18" s="82">
        <f>SUM(B16:E16)</f>
        <v>6534.8967647691115</v>
      </c>
    </row>
    <row r="19" spans="1:6">
      <c r="A19" s="83" t="s">
        <v>371</v>
      </c>
      <c r="B19" s="19">
        <f>F15/(B5-B4)</f>
        <v>124689.17219984494</v>
      </c>
    </row>
    <row r="20" spans="1:6" ht="16.8" thickBot="1">
      <c r="A20" s="61" t="s">
        <v>215</v>
      </c>
      <c r="C20" s="80">
        <f>B19/(1+B5)^6</f>
        <v>74348.079398383765</v>
      </c>
    </row>
    <row r="21" spans="1:6" ht="16.2" thickBot="1">
      <c r="A21" s="61" t="s">
        <v>216</v>
      </c>
      <c r="C21" s="86">
        <f>SUM(C18+C20)</f>
        <v>80882.976163152882</v>
      </c>
    </row>
    <row r="22" spans="1:6" ht="5.25" customHeight="1" thickBot="1">
      <c r="A22" s="61"/>
      <c r="C22" s="87"/>
    </row>
    <row r="23" spans="1:6" ht="16.8" thickBot="1">
      <c r="A23" s="6" t="s">
        <v>217</v>
      </c>
      <c r="C23" s="85">
        <f>C21/173</f>
        <v>467.53165412227099</v>
      </c>
    </row>
    <row r="24" spans="1:6">
      <c r="A24" s="6"/>
      <c r="B24" s="25"/>
    </row>
    <row r="25" spans="1:6" ht="15.6">
      <c r="A25" s="61"/>
      <c r="B25" s="70"/>
      <c r="C25" s="70"/>
      <c r="D25" s="70"/>
      <c r="E25" s="70"/>
      <c r="F25" s="7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32"/>
  <sheetViews>
    <sheetView tabSelected="1" zoomScale="70" zoomScaleNormal="70" workbookViewId="0">
      <selection activeCell="G12" sqref="G12"/>
    </sheetView>
  </sheetViews>
  <sheetFormatPr defaultRowHeight="14.4"/>
  <cols>
    <col min="1" max="1" width="2.44140625" customWidth="1"/>
    <col min="2" max="2" width="46.109375" customWidth="1"/>
    <col min="3" max="3" width="11.44140625" customWidth="1"/>
    <col min="4" max="4" width="13.88671875" customWidth="1"/>
    <col min="5" max="7" width="11.44140625" customWidth="1"/>
    <col min="8" max="8" width="12.6640625" customWidth="1"/>
    <col min="9" max="9" width="13.5546875" customWidth="1"/>
    <col min="10" max="10" width="11.44140625" customWidth="1"/>
    <col min="11" max="11" width="11.109375" bestFit="1" customWidth="1"/>
    <col min="12" max="12" width="11.33203125" customWidth="1"/>
    <col min="13" max="13" width="10.6640625" customWidth="1"/>
    <col min="14" max="14" width="10.5546875" customWidth="1"/>
  </cols>
  <sheetData>
    <row r="1" spans="1:14">
      <c r="A1" s="6" t="s">
        <v>366</v>
      </c>
    </row>
    <row r="2" spans="1:14">
      <c r="A2" s="6" t="s">
        <v>204</v>
      </c>
    </row>
    <row r="3" spans="1:14">
      <c r="A3" s="6"/>
    </row>
    <row r="4" spans="1:14" ht="15" thickBot="1">
      <c r="A4" s="255"/>
      <c r="B4" s="256" t="s">
        <v>205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257"/>
    </row>
    <row r="5" spans="1:14">
      <c r="A5" s="258"/>
      <c r="B5" s="253" t="s">
        <v>255</v>
      </c>
      <c r="C5" s="254">
        <v>0.05</v>
      </c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259"/>
    </row>
    <row r="6" spans="1:14" ht="15" thickBot="1">
      <c r="A6" s="258"/>
      <c r="B6" s="252" t="s">
        <v>203</v>
      </c>
      <c r="C6" s="69">
        <v>0.2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259"/>
    </row>
    <row r="7" spans="1:14">
      <c r="A7" s="258"/>
      <c r="B7" s="103"/>
      <c r="C7" s="104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259"/>
    </row>
    <row r="8" spans="1:14" ht="15" thickBot="1">
      <c r="A8" s="258"/>
      <c r="B8" s="260" t="s">
        <v>230</v>
      </c>
      <c r="C8" s="104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259"/>
    </row>
    <row r="9" spans="1:14">
      <c r="A9" s="258"/>
      <c r="B9" s="105" t="s">
        <v>247</v>
      </c>
      <c r="C9" s="110">
        <f>WACC!C11</f>
        <v>7.5000000000000011E-2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259"/>
    </row>
    <row r="10" spans="1:14">
      <c r="A10" s="258"/>
      <c r="B10" s="106" t="s">
        <v>250</v>
      </c>
      <c r="C10" s="111">
        <f>WACC!C16</f>
        <v>0.105</v>
      </c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259"/>
    </row>
    <row r="11" spans="1:14">
      <c r="A11" s="258"/>
      <c r="B11" s="107" t="s">
        <v>251</v>
      </c>
      <c r="C11" s="112">
        <f>AVERAGE(C9:C10)</f>
        <v>0.09</v>
      </c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259"/>
    </row>
    <row r="12" spans="1:14">
      <c r="A12" s="258"/>
      <c r="B12" s="107" t="s">
        <v>252</v>
      </c>
      <c r="C12" s="112">
        <f>WACC!C22</f>
        <v>0.06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259"/>
    </row>
    <row r="13" spans="1:14">
      <c r="A13" s="258"/>
      <c r="B13" s="106" t="s">
        <v>253</v>
      </c>
      <c r="C13" s="113">
        <f>WACC!B30</f>
        <v>0.83623693379790942</v>
      </c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259"/>
    </row>
    <row r="14" spans="1:14" ht="15" thickBot="1">
      <c r="A14" s="258"/>
      <c r="B14" s="108" t="s">
        <v>254</v>
      </c>
      <c r="C14" s="114">
        <f>WACC!B29</f>
        <v>0.16376306620209061</v>
      </c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259"/>
    </row>
    <row r="15" spans="1:14" ht="15" thickBot="1">
      <c r="A15" s="258"/>
      <c r="B15" s="109" t="s">
        <v>230</v>
      </c>
      <c r="C15" s="115">
        <f>(C11*C13)+(C12*C14)</f>
        <v>8.508710801393729E-2</v>
      </c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259"/>
    </row>
    <row r="16" spans="1:14">
      <c r="A16" s="258"/>
      <c r="B16" s="103"/>
      <c r="C16" s="104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259"/>
    </row>
    <row r="17" spans="1:16">
      <c r="A17" s="258"/>
      <c r="B17" s="117" t="s">
        <v>264</v>
      </c>
      <c r="C17" s="117"/>
      <c r="D17" s="117"/>
      <c r="E17" s="117"/>
      <c r="F17" s="261"/>
      <c r="G17" s="261"/>
      <c r="H17" s="261"/>
      <c r="I17" s="261"/>
      <c r="J17" s="262"/>
      <c r="K17" s="263"/>
      <c r="L17" s="263"/>
      <c r="M17" s="263"/>
      <c r="N17" s="264"/>
      <c r="O17" s="70"/>
      <c r="P17" s="70"/>
    </row>
    <row r="18" spans="1:16" ht="15" thickBot="1">
      <c r="A18" s="258"/>
      <c r="B18" s="118"/>
      <c r="C18" s="173">
        <v>2016</v>
      </c>
      <c r="D18" s="173">
        <v>2017</v>
      </c>
      <c r="E18" s="193">
        <v>2018</v>
      </c>
      <c r="F18" s="192" t="s">
        <v>317</v>
      </c>
      <c r="G18" s="116" t="s">
        <v>320</v>
      </c>
      <c r="H18" s="116" t="s">
        <v>321</v>
      </c>
      <c r="I18" s="116" t="s">
        <v>354</v>
      </c>
      <c r="J18" s="116" t="s">
        <v>356</v>
      </c>
      <c r="K18" s="116" t="s">
        <v>357</v>
      </c>
      <c r="L18" s="116" t="s">
        <v>358</v>
      </c>
      <c r="M18" s="116" t="s">
        <v>359</v>
      </c>
      <c r="N18" s="265"/>
      <c r="O18" s="123"/>
    </row>
    <row r="19" spans="1:16">
      <c r="A19" s="258"/>
      <c r="B19" s="266" t="s">
        <v>198</v>
      </c>
      <c r="C19" s="267">
        <f t="shared" ref="C19:M19" si="0">C45</f>
        <v>6998</v>
      </c>
      <c r="D19" s="267">
        <f t="shared" si="0"/>
        <v>11759</v>
      </c>
      <c r="E19" s="221">
        <f t="shared" si="0"/>
        <v>21461</v>
      </c>
      <c r="F19" s="268">
        <f t="shared" si="0"/>
        <v>27899.3</v>
      </c>
      <c r="G19" s="268">
        <f t="shared" si="0"/>
        <v>34874.125</v>
      </c>
      <c r="H19" s="268">
        <f t="shared" si="0"/>
        <v>43592.65625</v>
      </c>
      <c r="I19" s="268">
        <f t="shared" si="0"/>
        <v>50131.554687499993</v>
      </c>
      <c r="J19" s="268">
        <f t="shared" si="0"/>
        <v>57651.28789062499</v>
      </c>
      <c r="K19" s="268">
        <f t="shared" si="0"/>
        <v>62263.39092187499</v>
      </c>
      <c r="L19" s="268">
        <f t="shared" si="0"/>
        <v>67244.46219562499</v>
      </c>
      <c r="M19" s="268">
        <f t="shared" si="0"/>
        <v>70606.685305406238</v>
      </c>
      <c r="N19" s="269"/>
      <c r="O19" s="124"/>
    </row>
    <row r="20" spans="1:16">
      <c r="A20" s="258"/>
      <c r="B20" s="266" t="s">
        <v>265</v>
      </c>
      <c r="C20" s="267">
        <f t="shared" ref="C20:M20" si="1">C56</f>
        <v>-746</v>
      </c>
      <c r="D20" s="267">
        <f t="shared" si="1"/>
        <v>-2206</v>
      </c>
      <c r="E20" s="221">
        <f t="shared" si="1"/>
        <v>-1004</v>
      </c>
      <c r="F20" s="268">
        <f t="shared" si="1"/>
        <v>1115.971999999997</v>
      </c>
      <c r="G20" s="268">
        <f t="shared" si="1"/>
        <v>1394.964999999997</v>
      </c>
      <c r="H20" s="268">
        <f t="shared" si="1"/>
        <v>3051.4859374999996</v>
      </c>
      <c r="I20" s="268">
        <f t="shared" si="1"/>
        <v>4010.524375</v>
      </c>
      <c r="J20" s="268">
        <f t="shared" si="1"/>
        <v>5188.6159101562489</v>
      </c>
      <c r="K20" s="268">
        <f t="shared" si="1"/>
        <v>5603.7051829687434</v>
      </c>
      <c r="L20" s="268">
        <f t="shared" si="1"/>
        <v>6052.0015976062477</v>
      </c>
      <c r="M20" s="268">
        <f t="shared" si="1"/>
        <v>6354.6016774865548</v>
      </c>
      <c r="N20" s="269"/>
      <c r="O20" s="124"/>
    </row>
    <row r="21" spans="1:16">
      <c r="A21" s="258"/>
      <c r="B21" s="266" t="s">
        <v>293</v>
      </c>
      <c r="C21" s="267">
        <f t="shared" ref="C21:M21" si="2">C59</f>
        <v>26</v>
      </c>
      <c r="D21" s="267">
        <f t="shared" si="2"/>
        <v>31</v>
      </c>
      <c r="E21" s="221">
        <f t="shared" si="2"/>
        <v>58</v>
      </c>
      <c r="F21" s="268">
        <f t="shared" si="2"/>
        <v>84.07727999999949</v>
      </c>
      <c r="G21" s="268">
        <f t="shared" si="2"/>
        <v>116.77636799999949</v>
      </c>
      <c r="H21" s="268">
        <f t="shared" si="2"/>
        <v>394.80253694999999</v>
      </c>
      <c r="I21" s="268">
        <f t="shared" si="2"/>
        <v>544.25971593000008</v>
      </c>
      <c r="J21" s="268">
        <f t="shared" si="2"/>
        <v>729.67099152262483</v>
      </c>
      <c r="K21" s="268">
        <f t="shared" si="2"/>
        <v>773.74507978304882</v>
      </c>
      <c r="L21" s="268">
        <f t="shared" si="2"/>
        <v>819.2001564451009</v>
      </c>
      <c r="M21" s="268">
        <f t="shared" si="2"/>
        <v>833.14415115495274</v>
      </c>
      <c r="N21" s="269"/>
      <c r="O21" s="125"/>
    </row>
    <row r="22" spans="1:16">
      <c r="A22" s="258"/>
      <c r="B22" s="120" t="s">
        <v>292</v>
      </c>
      <c r="C22" s="215">
        <f>C51</f>
        <v>947</v>
      </c>
      <c r="D22" s="215">
        <f>D51</f>
        <v>1636</v>
      </c>
      <c r="E22" s="215">
        <f>E51</f>
        <v>1901</v>
      </c>
      <c r="F22" s="270">
        <f>F51</f>
        <v>2231.944</v>
      </c>
      <c r="G22" s="270">
        <f t="shared" ref="G22:M22" si="3">G51</f>
        <v>2789.93</v>
      </c>
      <c r="H22" s="270">
        <f t="shared" si="3"/>
        <v>2179.6328125</v>
      </c>
      <c r="I22" s="270">
        <f t="shared" si="3"/>
        <v>2005.2621874999998</v>
      </c>
      <c r="J22" s="270">
        <f t="shared" si="3"/>
        <v>1729.5386367187496</v>
      </c>
      <c r="K22" s="270">
        <f t="shared" si="3"/>
        <v>1867.9017276562497</v>
      </c>
      <c r="L22" s="270">
        <f t="shared" si="3"/>
        <v>2017.3338658687496</v>
      </c>
      <c r="M22" s="270">
        <f t="shared" si="3"/>
        <v>2118.2005591621869</v>
      </c>
      <c r="N22" s="259"/>
      <c r="O22" s="126"/>
    </row>
    <row r="23" spans="1:16">
      <c r="A23" s="258"/>
      <c r="B23" s="266" t="s">
        <v>267</v>
      </c>
      <c r="C23" s="216">
        <f>C82-'TSLA Balance Sheet'!F16</f>
        <v>4191</v>
      </c>
      <c r="D23" s="222">
        <f t="shared" ref="D23:M23" si="4">D82-C82</f>
        <v>4045</v>
      </c>
      <c r="E23" s="223">
        <f>E82-D82</f>
        <v>1303</v>
      </c>
      <c r="F23" s="271">
        <f t="shared" si="4"/>
        <v>2266</v>
      </c>
      <c r="G23" s="271">
        <f t="shared" si="4"/>
        <v>2447.2799999999988</v>
      </c>
      <c r="H23" s="271">
        <f t="shared" si="4"/>
        <v>2887.790399999998</v>
      </c>
      <c r="I23" s="271">
        <f t="shared" si="4"/>
        <v>2839.6605599999966</v>
      </c>
      <c r="J23" s="271">
        <f t="shared" si="4"/>
        <v>2612.4877152000008</v>
      </c>
      <c r="K23" s="271">
        <f t="shared" si="4"/>
        <v>2438.3218675200005</v>
      </c>
      <c r="L23" s="271">
        <f t="shared" si="4"/>
        <v>2145.7232434176003</v>
      </c>
      <c r="M23" s="271">
        <f t="shared" si="4"/>
        <v>1738.0358271682562</v>
      </c>
      <c r="N23" s="272"/>
      <c r="O23" s="125"/>
    </row>
    <row r="24" spans="1:16">
      <c r="A24" s="258"/>
      <c r="B24" s="266" t="s">
        <v>266</v>
      </c>
      <c r="C24" s="268">
        <f t="shared" ref="C24:M24" si="5">C118</f>
        <v>0</v>
      </c>
      <c r="D24" s="268">
        <f t="shared" si="5"/>
        <v>-1618</v>
      </c>
      <c r="E24" s="268">
        <f t="shared" si="5"/>
        <v>1018</v>
      </c>
      <c r="F24" s="268">
        <f t="shared" si="5"/>
        <v>831.20000000000073</v>
      </c>
      <c r="G24" s="268">
        <f t="shared" si="5"/>
        <v>-667.20000000000073</v>
      </c>
      <c r="H24" s="268">
        <f t="shared" si="5"/>
        <v>-834</v>
      </c>
      <c r="I24" s="268">
        <f t="shared" si="5"/>
        <v>-625.49999999999818</v>
      </c>
      <c r="J24" s="268">
        <f t="shared" si="5"/>
        <v>-719.32499999999891</v>
      </c>
      <c r="K24" s="268">
        <f t="shared" si="5"/>
        <v>-441.18599999999969</v>
      </c>
      <c r="L24" s="268">
        <f t="shared" si="5"/>
        <v>-476.48087999999734</v>
      </c>
      <c r="M24" s="268">
        <f t="shared" si="5"/>
        <v>-321.6245940000008</v>
      </c>
      <c r="N24" s="269"/>
      <c r="O24" s="124"/>
    </row>
    <row r="25" spans="1:16" ht="16.2">
      <c r="A25" s="258"/>
      <c r="B25" s="119" t="s">
        <v>214</v>
      </c>
      <c r="C25" s="224">
        <f t="shared" ref="C25:M25" si="6">C20-C21+C22-C23-C24</f>
        <v>-4016</v>
      </c>
      <c r="D25" s="224">
        <f t="shared" si="6"/>
        <v>-3028</v>
      </c>
      <c r="E25" s="225">
        <f t="shared" si="6"/>
        <v>-1482</v>
      </c>
      <c r="F25" s="220">
        <f t="shared" si="6"/>
        <v>166.63871999999674</v>
      </c>
      <c r="G25" s="220">
        <f t="shared" si="6"/>
        <v>2288.0386319999989</v>
      </c>
      <c r="H25" s="220">
        <f t="shared" si="6"/>
        <v>2782.5258130500015</v>
      </c>
      <c r="I25" s="220">
        <f t="shared" si="6"/>
        <v>3257.3662865700007</v>
      </c>
      <c r="J25" s="220">
        <f t="shared" si="6"/>
        <v>4295.3208401523716</v>
      </c>
      <c r="K25" s="220">
        <f t="shared" si="6"/>
        <v>4700.7259633219437</v>
      </c>
      <c r="L25" s="220">
        <f t="shared" si="6"/>
        <v>5580.8929436122935</v>
      </c>
      <c r="M25" s="220">
        <f t="shared" si="6"/>
        <v>6223.2468523255338</v>
      </c>
      <c r="N25" s="273"/>
      <c r="O25" s="127"/>
    </row>
    <row r="26" spans="1:16">
      <c r="A26" s="258"/>
      <c r="B26" s="103"/>
      <c r="C26" s="212"/>
      <c r="D26" s="274"/>
      <c r="E26" s="214"/>
      <c r="F26" s="126"/>
      <c r="G26" s="126"/>
      <c r="H26" s="126"/>
      <c r="I26" s="126"/>
      <c r="J26" s="126"/>
      <c r="K26" s="126"/>
      <c r="L26" s="126"/>
      <c r="M26" s="126"/>
      <c r="N26" s="259"/>
    </row>
    <row r="27" spans="1:16" ht="16.2">
      <c r="A27" s="258"/>
      <c r="B27" s="275" t="s">
        <v>365</v>
      </c>
      <c r="C27" s="276"/>
      <c r="D27" s="277">
        <f>NPV(C15,F25:L25)</f>
        <v>15510.819343598023</v>
      </c>
      <c r="E27" s="214"/>
      <c r="F27" s="126"/>
      <c r="G27" s="126"/>
      <c r="H27" s="126"/>
      <c r="I27" s="126"/>
      <c r="J27" s="126"/>
      <c r="K27" s="126"/>
      <c r="L27" s="126"/>
      <c r="M27" s="126"/>
      <c r="N27" s="259"/>
    </row>
    <row r="28" spans="1:16">
      <c r="A28" s="258"/>
      <c r="B28" s="278" t="s">
        <v>369</v>
      </c>
      <c r="C28" s="279">
        <f>(M25)/(C15-C5)</f>
        <v>177365.62528474955</v>
      </c>
      <c r="D28" s="276"/>
      <c r="E28" s="214"/>
      <c r="F28" s="126"/>
      <c r="G28" s="126"/>
      <c r="H28" s="126"/>
      <c r="I28" s="126"/>
      <c r="J28" s="126"/>
      <c r="K28" s="126"/>
      <c r="L28" s="126"/>
      <c r="M28" s="126"/>
      <c r="N28" s="259"/>
    </row>
    <row r="29" spans="1:16">
      <c r="A29" s="258"/>
      <c r="B29" s="278" t="s">
        <v>368</v>
      </c>
      <c r="C29" s="280">
        <f>L20*'Competitive Summary'!I8</f>
        <v>93407.247935358333</v>
      </c>
      <c r="D29" s="281" t="s">
        <v>363</v>
      </c>
      <c r="E29" s="214"/>
      <c r="F29" s="126"/>
      <c r="G29" s="126"/>
      <c r="H29" s="126"/>
      <c r="I29" s="126"/>
      <c r="J29" s="126"/>
      <c r="K29" s="126"/>
      <c r="L29" s="126"/>
      <c r="M29" s="126"/>
      <c r="N29" s="259"/>
    </row>
    <row r="30" spans="1:16">
      <c r="A30" s="258"/>
      <c r="B30" s="278" t="s">
        <v>367</v>
      </c>
      <c r="C30" s="279">
        <f>AVERAGE(C28:C29)</f>
        <v>135386.43661005393</v>
      </c>
      <c r="D30" s="276"/>
      <c r="E30" s="214"/>
      <c r="F30" s="126"/>
      <c r="G30" s="126"/>
      <c r="H30" s="126"/>
      <c r="I30" s="126"/>
      <c r="J30" s="126"/>
      <c r="K30" s="126"/>
      <c r="L30" s="126"/>
      <c r="M30" s="126"/>
      <c r="N30" s="259"/>
    </row>
    <row r="31" spans="1:16" ht="16.2">
      <c r="A31" s="258"/>
      <c r="B31" s="260" t="s">
        <v>215</v>
      </c>
      <c r="C31" s="276"/>
      <c r="D31" s="282">
        <f>C30/((1+C15)^8)</f>
        <v>70446.322827152966</v>
      </c>
      <c r="E31" s="214"/>
      <c r="F31" s="126"/>
      <c r="G31" s="126"/>
      <c r="H31" s="126"/>
      <c r="I31" s="126"/>
      <c r="J31" s="126"/>
      <c r="K31" s="126"/>
      <c r="L31" s="126"/>
      <c r="M31" s="126"/>
      <c r="N31" s="259"/>
    </row>
    <row r="32" spans="1:16" ht="16.2">
      <c r="A32" s="258"/>
      <c r="B32" s="260" t="s">
        <v>216</v>
      </c>
      <c r="C32" s="276"/>
      <c r="D32" s="283">
        <f>SUM(D27+D31)</f>
        <v>85957.142170750987</v>
      </c>
      <c r="E32" s="214"/>
      <c r="F32" s="126"/>
      <c r="G32" s="126"/>
      <c r="H32" s="126"/>
      <c r="I32" s="126"/>
      <c r="J32" s="126"/>
      <c r="K32" s="126"/>
      <c r="L32" s="126"/>
      <c r="M32" s="126"/>
      <c r="N32" s="259"/>
    </row>
    <row r="33" spans="1:14" ht="16.2">
      <c r="A33" s="258"/>
      <c r="B33" s="260" t="s">
        <v>279</v>
      </c>
      <c r="C33" s="279">
        <v>0</v>
      </c>
      <c r="D33" s="283"/>
      <c r="E33" s="214"/>
      <c r="F33" s="126"/>
      <c r="G33" s="126"/>
      <c r="H33" s="126"/>
      <c r="I33" s="126"/>
      <c r="J33" s="126"/>
      <c r="K33" s="126"/>
      <c r="L33" s="126"/>
      <c r="M33" s="126"/>
      <c r="N33" s="259"/>
    </row>
    <row r="34" spans="1:14" ht="16.2">
      <c r="A34" s="258"/>
      <c r="B34" s="260" t="s">
        <v>268</v>
      </c>
      <c r="C34" s="276"/>
      <c r="D34" s="283">
        <f>D32+C33</f>
        <v>85957.142170750987</v>
      </c>
      <c r="E34" s="214"/>
      <c r="F34" s="126"/>
      <c r="G34" s="126"/>
      <c r="H34" s="126"/>
      <c r="I34" s="126"/>
      <c r="J34" s="126"/>
      <c r="K34" s="126"/>
      <c r="L34" s="126"/>
      <c r="M34" s="126"/>
      <c r="N34" s="259"/>
    </row>
    <row r="35" spans="1:14" ht="16.2">
      <c r="A35" s="258"/>
      <c r="B35" s="260" t="s">
        <v>319</v>
      </c>
      <c r="C35" s="279">
        <f>E96</f>
        <v>9404</v>
      </c>
      <c r="D35" s="283"/>
      <c r="E35" s="214"/>
      <c r="F35" s="126"/>
      <c r="G35" s="126"/>
      <c r="H35" s="126"/>
      <c r="I35" s="126"/>
      <c r="J35" s="126"/>
      <c r="K35" s="126"/>
      <c r="L35" s="126"/>
      <c r="M35" s="126"/>
      <c r="N35" s="259"/>
    </row>
    <row r="36" spans="1:14" ht="16.2">
      <c r="A36" s="258"/>
      <c r="B36" s="260" t="s">
        <v>269</v>
      </c>
      <c r="C36" s="276"/>
      <c r="D36" s="283">
        <f>D34-C35</f>
        <v>76553.142170750987</v>
      </c>
      <c r="E36" s="214"/>
      <c r="F36" s="126"/>
      <c r="G36" s="126"/>
      <c r="H36" s="126"/>
      <c r="I36" s="126"/>
      <c r="J36" s="126"/>
      <c r="K36" s="126"/>
      <c r="L36" s="126"/>
      <c r="M36" s="126"/>
      <c r="N36" s="259"/>
    </row>
    <row r="37" spans="1:14" ht="16.2">
      <c r="A37" s="258"/>
      <c r="B37" s="260" t="s">
        <v>270</v>
      </c>
      <c r="C37" s="276"/>
      <c r="D37" s="284">
        <v>175</v>
      </c>
      <c r="E37" s="214"/>
      <c r="F37" s="126"/>
      <c r="G37" s="126"/>
      <c r="H37" s="126"/>
      <c r="I37" s="126"/>
      <c r="J37" s="126"/>
      <c r="K37" s="126"/>
      <c r="L37" s="126"/>
      <c r="M37" s="126"/>
      <c r="N37" s="259"/>
    </row>
    <row r="38" spans="1:14" ht="16.2">
      <c r="A38" s="258"/>
      <c r="B38" s="285" t="s">
        <v>271</v>
      </c>
      <c r="C38" s="276"/>
      <c r="D38" s="286">
        <f>D36/D37</f>
        <v>437.44652669000567</v>
      </c>
      <c r="E38" s="214"/>
      <c r="F38" s="126"/>
      <c r="G38" s="126"/>
      <c r="H38" s="126"/>
      <c r="I38" s="126"/>
      <c r="J38" s="126"/>
      <c r="K38" s="126"/>
      <c r="L38" s="126"/>
      <c r="M38" s="126"/>
      <c r="N38" s="259"/>
    </row>
    <row r="39" spans="1:14">
      <c r="A39" s="287"/>
      <c r="B39" s="288"/>
      <c r="C39" s="289"/>
      <c r="D39" s="290"/>
      <c r="E39" s="291"/>
      <c r="F39" s="88"/>
      <c r="G39" s="88"/>
      <c r="H39" s="88"/>
      <c r="I39" s="88"/>
      <c r="J39" s="88"/>
      <c r="K39" s="88"/>
      <c r="L39" s="88"/>
      <c r="M39" s="88"/>
      <c r="N39" s="292"/>
    </row>
    <row r="40" spans="1:14">
      <c r="B40" s="103"/>
      <c r="C40" s="212"/>
      <c r="D40" s="213"/>
      <c r="E40" s="214"/>
      <c r="F40" s="126"/>
    </row>
    <row r="41" spans="1:14">
      <c r="B41" s="103"/>
      <c r="C41" s="212"/>
      <c r="D41" s="213"/>
      <c r="E41" s="214"/>
      <c r="F41" s="126"/>
    </row>
    <row r="42" spans="1:14">
      <c r="B42" s="103"/>
      <c r="C42" s="212"/>
      <c r="D42" s="213"/>
      <c r="E42" s="214"/>
    </row>
    <row r="43" spans="1:14" ht="28.8">
      <c r="B43" s="89" t="s">
        <v>256</v>
      </c>
      <c r="C43" s="174"/>
      <c r="D43" s="174"/>
      <c r="E43" s="194"/>
    </row>
    <row r="44" spans="1:14" ht="15" thickBot="1">
      <c r="B44" s="65" t="s">
        <v>3</v>
      </c>
      <c r="C44" s="173">
        <f>C18</f>
        <v>2016</v>
      </c>
      <c r="D44" s="173">
        <f>D18</f>
        <v>2017</v>
      </c>
      <c r="E44" s="173">
        <f>E18</f>
        <v>2018</v>
      </c>
      <c r="F44" s="192" t="str">
        <f>F18</f>
        <v>2019E</v>
      </c>
      <c r="G44" s="192" t="str">
        <f>G18</f>
        <v>2020E</v>
      </c>
      <c r="H44" s="192" t="str">
        <f>H18</f>
        <v>2021E</v>
      </c>
      <c r="I44" s="192" t="str">
        <f>I18</f>
        <v>2022E</v>
      </c>
      <c r="J44" s="192" t="str">
        <f>J18</f>
        <v>2023E</v>
      </c>
      <c r="K44" s="192" t="str">
        <f>K18</f>
        <v>2024E</v>
      </c>
      <c r="L44" s="192" t="str">
        <f>L18</f>
        <v>2025E</v>
      </c>
      <c r="M44" s="192" t="str">
        <f>M18</f>
        <v>2026+</v>
      </c>
    </row>
    <row r="45" spans="1:14" ht="16.8" thickTop="1">
      <c r="B45" s="3" t="s">
        <v>7</v>
      </c>
      <c r="C45" s="175">
        <f>'TSLA Income Statement'!D13</f>
        <v>6998</v>
      </c>
      <c r="D45" s="175">
        <f>'TSLA Income Statement'!C13</f>
        <v>11759</v>
      </c>
      <c r="E45" s="195">
        <f>'TSLA Income Statement'!B13</f>
        <v>21461</v>
      </c>
      <c r="F45" s="21">
        <f>E45*(1+F65)</f>
        <v>27899.3</v>
      </c>
      <c r="G45" s="21">
        <f t="shared" ref="G45:L45" si="7">F45*(1+G65)</f>
        <v>34874.125</v>
      </c>
      <c r="H45" s="21">
        <f t="shared" si="7"/>
        <v>43592.65625</v>
      </c>
      <c r="I45" s="21">
        <f t="shared" si="7"/>
        <v>50131.554687499993</v>
      </c>
      <c r="J45" s="21">
        <f t="shared" si="7"/>
        <v>57651.28789062499</v>
      </c>
      <c r="K45" s="21">
        <f t="shared" si="7"/>
        <v>62263.39092187499</v>
      </c>
      <c r="L45" s="21">
        <f t="shared" si="7"/>
        <v>67244.46219562499</v>
      </c>
      <c r="M45" s="21">
        <f>L45*(1+C5)</f>
        <v>70606.685305406238</v>
      </c>
    </row>
    <row r="46" spans="1:14">
      <c r="B46" s="2" t="s">
        <v>9</v>
      </c>
      <c r="C46" s="176">
        <f>'TSLA Income Statement'!D15</f>
        <v>5399</v>
      </c>
      <c r="D46" s="176">
        <f>'TSLA Income Statement'!C15</f>
        <v>9535</v>
      </c>
      <c r="E46" s="196">
        <f>'TSLA Income Statement'!B15</f>
        <v>17419</v>
      </c>
      <c r="F46" s="15">
        <f t="shared" ref="F46:M46" si="8">F45*F66</f>
        <v>22319.440000000002</v>
      </c>
      <c r="G46" s="15">
        <f t="shared" si="8"/>
        <v>27899.300000000003</v>
      </c>
      <c r="H46" s="15">
        <f t="shared" si="8"/>
        <v>34874.125</v>
      </c>
      <c r="I46" s="15">
        <f t="shared" si="8"/>
        <v>40105.243749999994</v>
      </c>
      <c r="J46" s="15">
        <f t="shared" si="8"/>
        <v>46121.030312499992</v>
      </c>
      <c r="K46" s="15">
        <f t="shared" si="8"/>
        <v>49810.712737499998</v>
      </c>
      <c r="L46" s="15">
        <f t="shared" si="8"/>
        <v>53795.569756499994</v>
      </c>
      <c r="M46" s="15">
        <f t="shared" si="8"/>
        <v>56485.348244324996</v>
      </c>
    </row>
    <row r="47" spans="1:14" ht="16.2">
      <c r="B47" s="2" t="s">
        <v>10</v>
      </c>
      <c r="C47" s="177">
        <f>'TSLA Income Statement'!D21</f>
        <v>1599</v>
      </c>
      <c r="D47" s="177">
        <f>'TSLA Income Statement'!C21</f>
        <v>2224</v>
      </c>
      <c r="E47" s="197">
        <f>'TSLA Income Statement'!B21</f>
        <v>4042</v>
      </c>
      <c r="F47" s="16">
        <f t="shared" ref="F47:M47" si="9">F45-F46</f>
        <v>5579.8599999999969</v>
      </c>
      <c r="G47" s="16">
        <f t="shared" si="9"/>
        <v>6974.8249999999971</v>
      </c>
      <c r="H47" s="16">
        <f t="shared" si="9"/>
        <v>8718.53125</v>
      </c>
      <c r="I47" s="16">
        <f t="shared" si="9"/>
        <v>10026.310937499999</v>
      </c>
      <c r="J47" s="16">
        <f t="shared" si="9"/>
        <v>11530.257578124998</v>
      </c>
      <c r="K47" s="16">
        <f t="shared" si="9"/>
        <v>12452.678184374992</v>
      </c>
      <c r="L47" s="16">
        <f t="shared" si="9"/>
        <v>13448.892439124997</v>
      </c>
      <c r="M47" s="16">
        <f t="shared" si="9"/>
        <v>14121.337061081242</v>
      </c>
    </row>
    <row r="48" spans="1:14">
      <c r="B48" s="2" t="s">
        <v>11</v>
      </c>
      <c r="C48" s="176">
        <f>'TSLA Income Statement'!D23</f>
        <v>834</v>
      </c>
      <c r="D48" s="176">
        <f>'TSLA Income Statement'!C23</f>
        <v>1378</v>
      </c>
      <c r="E48" s="196">
        <f>'TSLA Income Statement'!B23</f>
        <v>1460</v>
      </c>
      <c r="F48" s="15">
        <f>E48*1.09</f>
        <v>1591.4</v>
      </c>
      <c r="G48" s="15">
        <f t="shared" ref="G48:M48" si="10">F48*1.09</f>
        <v>1734.6260000000002</v>
      </c>
      <c r="H48" s="15">
        <f t="shared" si="10"/>
        <v>1890.7423400000005</v>
      </c>
      <c r="I48" s="15">
        <f t="shared" si="10"/>
        <v>2060.9091506000009</v>
      </c>
      <c r="J48" s="15">
        <f t="shared" si="10"/>
        <v>2246.390974154001</v>
      </c>
      <c r="K48" s="15">
        <f t="shared" si="10"/>
        <v>2448.5661618278614</v>
      </c>
      <c r="L48" s="15">
        <f t="shared" si="10"/>
        <v>2668.9371163923693</v>
      </c>
      <c r="M48" s="15">
        <f t="shared" si="10"/>
        <v>2909.1414568676828</v>
      </c>
    </row>
    <row r="49" spans="2:14">
      <c r="B49" s="2" t="s">
        <v>12</v>
      </c>
      <c r="C49" s="176">
        <f>'TSLA Income Statement'!D24</f>
        <v>1432</v>
      </c>
      <c r="D49" s="176">
        <f>'TSLA Income Statement'!C24</f>
        <v>2476</v>
      </c>
      <c r="E49" s="196">
        <f>'TSLA Income Statement'!D24</f>
        <v>1432</v>
      </c>
      <c r="F49" s="15">
        <f t="shared" ref="F49:M49" si="11">F45*F67</f>
        <v>2231.944</v>
      </c>
      <c r="G49" s="15">
        <f t="shared" si="11"/>
        <v>2789.93</v>
      </c>
      <c r="H49" s="15">
        <f t="shared" si="11"/>
        <v>3487.4124999999999</v>
      </c>
      <c r="I49" s="15">
        <f t="shared" si="11"/>
        <v>4010.5243749999995</v>
      </c>
      <c r="J49" s="15">
        <f t="shared" si="11"/>
        <v>4612.1030312499997</v>
      </c>
      <c r="K49" s="15">
        <f t="shared" si="11"/>
        <v>4981.0712737499989</v>
      </c>
      <c r="L49" s="15">
        <f t="shared" si="11"/>
        <v>5379.556975649999</v>
      </c>
      <c r="M49" s="15">
        <f t="shared" si="11"/>
        <v>5648.5348244324987</v>
      </c>
    </row>
    <row r="50" spans="2:14" ht="16.2">
      <c r="B50" s="3" t="s">
        <v>13</v>
      </c>
      <c r="C50" s="177">
        <f>'TSLA Income Statement'!D26</f>
        <v>-667</v>
      </c>
      <c r="D50" s="177">
        <f>'TSLA Income Statement'!C26</f>
        <v>-1630</v>
      </c>
      <c r="E50" s="197">
        <f>'TSLA Income Statement'!B26</f>
        <v>-387</v>
      </c>
      <c r="F50" s="16">
        <f t="shared" ref="F50:M50" si="12">F45-F46-F49</f>
        <v>3347.915999999997</v>
      </c>
      <c r="G50" s="16">
        <f t="shared" si="12"/>
        <v>4184.8949999999968</v>
      </c>
      <c r="H50" s="16">
        <f t="shared" si="12"/>
        <v>5231.1187499999996</v>
      </c>
      <c r="I50" s="16">
        <f t="shared" si="12"/>
        <v>6015.7865624999995</v>
      </c>
      <c r="J50" s="16">
        <f t="shared" si="12"/>
        <v>6918.1545468749982</v>
      </c>
      <c r="K50" s="16">
        <f t="shared" si="12"/>
        <v>7471.6069106249934</v>
      </c>
      <c r="L50" s="16">
        <f t="shared" si="12"/>
        <v>8069.3354634749976</v>
      </c>
      <c r="M50" s="16">
        <f t="shared" si="12"/>
        <v>8472.8022366487421</v>
      </c>
    </row>
    <row r="51" spans="2:14">
      <c r="B51" s="2" t="s">
        <v>14</v>
      </c>
      <c r="C51" s="176">
        <v>947</v>
      </c>
      <c r="D51" s="176">
        <v>1636</v>
      </c>
      <c r="E51" s="196">
        <v>1901</v>
      </c>
      <c r="F51" s="15">
        <f t="shared" ref="F51:M51" si="13">F45*F122</f>
        <v>2231.944</v>
      </c>
      <c r="G51" s="15">
        <f t="shared" si="13"/>
        <v>2789.93</v>
      </c>
      <c r="H51" s="15">
        <f t="shared" si="13"/>
        <v>2179.6328125</v>
      </c>
      <c r="I51" s="15">
        <f t="shared" si="13"/>
        <v>2005.2621874999998</v>
      </c>
      <c r="J51" s="15">
        <f t="shared" si="13"/>
        <v>1729.5386367187496</v>
      </c>
      <c r="K51" s="15">
        <f t="shared" si="13"/>
        <v>1867.9017276562497</v>
      </c>
      <c r="L51" s="15">
        <f t="shared" si="13"/>
        <v>2017.3338658687496</v>
      </c>
      <c r="M51" s="15">
        <f t="shared" si="13"/>
        <v>2118.2005591621869</v>
      </c>
    </row>
    <row r="52" spans="2:14">
      <c r="B52" s="2" t="s">
        <v>15</v>
      </c>
      <c r="C52" s="176">
        <f>'TSLA Income Statement'!D29</f>
        <v>-667</v>
      </c>
      <c r="D52" s="176">
        <f>'TSLA Income Statement'!C29</f>
        <v>-1630</v>
      </c>
      <c r="E52" s="196">
        <f>'TSLA Income Statement'!B29</f>
        <v>-387</v>
      </c>
      <c r="F52" s="15">
        <f t="shared" ref="F52:M52" si="14">F50-F51</f>
        <v>1115.971999999997</v>
      </c>
      <c r="G52" s="15">
        <f t="shared" si="14"/>
        <v>1394.964999999997</v>
      </c>
      <c r="H52" s="15">
        <f t="shared" si="14"/>
        <v>3051.4859374999996</v>
      </c>
      <c r="I52" s="15">
        <f t="shared" si="14"/>
        <v>4010.524375</v>
      </c>
      <c r="J52" s="15">
        <f t="shared" si="14"/>
        <v>5188.6159101562489</v>
      </c>
      <c r="K52" s="15">
        <f t="shared" si="14"/>
        <v>5603.7051829687434</v>
      </c>
      <c r="L52" s="15">
        <f t="shared" si="14"/>
        <v>6052.0015976062477</v>
      </c>
      <c r="M52" s="15">
        <f t="shared" si="14"/>
        <v>6354.6016774865548</v>
      </c>
    </row>
    <row r="53" spans="2:14">
      <c r="B53" s="2" t="s">
        <v>16</v>
      </c>
      <c r="C53" s="176">
        <f>'TSLA Income Statement'!D30</f>
        <v>-190</v>
      </c>
      <c r="D53" s="176">
        <f>'TSLA Income Statement'!C30</f>
        <v>-451</v>
      </c>
      <c r="E53" s="196">
        <f>'TSLA Income Statement'!B30</f>
        <v>-639</v>
      </c>
      <c r="F53" s="15" t="s">
        <v>83</v>
      </c>
      <c r="G53" s="15" t="s">
        <v>83</v>
      </c>
      <c r="H53" s="15" t="s">
        <v>83</v>
      </c>
      <c r="I53" s="15" t="s">
        <v>83</v>
      </c>
      <c r="J53" s="15" t="s">
        <v>83</v>
      </c>
      <c r="K53" s="15" t="s">
        <v>83</v>
      </c>
      <c r="L53" s="15" t="s">
        <v>83</v>
      </c>
      <c r="M53" s="15" t="s">
        <v>83</v>
      </c>
    </row>
    <row r="54" spans="2:14">
      <c r="B54" s="2" t="s">
        <v>17</v>
      </c>
      <c r="C54" s="176">
        <f>'TSLA Income Statement'!D31</f>
        <v>111</v>
      </c>
      <c r="D54" s="176">
        <f>'TSLA Income Statement'!C31</f>
        <v>-125</v>
      </c>
      <c r="E54" s="196">
        <f>'TSLA Income Statement'!B31</f>
        <v>22</v>
      </c>
      <c r="F54" s="15" t="s">
        <v>83</v>
      </c>
      <c r="G54" s="15" t="s">
        <v>83</v>
      </c>
      <c r="H54" s="15" t="s">
        <v>83</v>
      </c>
      <c r="I54" s="15" t="s">
        <v>83</v>
      </c>
      <c r="J54" s="15" t="s">
        <v>83</v>
      </c>
      <c r="K54" s="15" t="s">
        <v>83</v>
      </c>
      <c r="L54" s="15" t="s">
        <v>83</v>
      </c>
      <c r="M54" s="15" t="s">
        <v>83</v>
      </c>
    </row>
    <row r="55" spans="2:14">
      <c r="B55" s="2" t="s">
        <v>18</v>
      </c>
      <c r="C55" s="176">
        <f>'TSLA Income Statement'!D32</f>
        <v>0</v>
      </c>
      <c r="D55" s="176">
        <f>'TSLA Income Statement'!C32</f>
        <v>0</v>
      </c>
      <c r="E55" s="196">
        <f>'TSLA Income Statement'!B32</f>
        <v>0</v>
      </c>
      <c r="F55" s="15" t="s">
        <v>83</v>
      </c>
      <c r="G55" s="15" t="s">
        <v>83</v>
      </c>
      <c r="H55" s="15" t="s">
        <v>83</v>
      </c>
      <c r="I55" s="15" t="s">
        <v>83</v>
      </c>
      <c r="J55" s="15" t="s">
        <v>83</v>
      </c>
      <c r="K55" s="15" t="s">
        <v>83</v>
      </c>
      <c r="L55" s="15" t="s">
        <v>83</v>
      </c>
      <c r="M55" s="15" t="s">
        <v>83</v>
      </c>
    </row>
    <row r="56" spans="2:14" ht="16.2">
      <c r="B56" s="3" t="s">
        <v>19</v>
      </c>
      <c r="C56" s="177">
        <f>'TSLA Income Statement'!D33</f>
        <v>-746</v>
      </c>
      <c r="D56" s="177">
        <f>'TSLA Income Statement'!C33</f>
        <v>-2206</v>
      </c>
      <c r="E56" s="197">
        <f>'TSLA Income Statement'!B33</f>
        <v>-1004</v>
      </c>
      <c r="F56" s="16">
        <f t="shared" ref="F56:M56" si="15">SUM(F52:F55)</f>
        <v>1115.971999999997</v>
      </c>
      <c r="G56" s="16">
        <f t="shared" si="15"/>
        <v>1394.964999999997</v>
      </c>
      <c r="H56" s="16">
        <f t="shared" si="15"/>
        <v>3051.4859374999996</v>
      </c>
      <c r="I56" s="16">
        <f t="shared" si="15"/>
        <v>4010.524375</v>
      </c>
      <c r="J56" s="16">
        <f t="shared" si="15"/>
        <v>5188.6159101562489</v>
      </c>
      <c r="K56" s="16">
        <f t="shared" si="15"/>
        <v>5603.7051829687434</v>
      </c>
      <c r="L56" s="16">
        <f t="shared" si="15"/>
        <v>6052.0015976062477</v>
      </c>
      <c r="M56" s="16">
        <f t="shared" si="15"/>
        <v>6354.6016774865548</v>
      </c>
    </row>
    <row r="57" spans="2:14">
      <c r="B57" s="2" t="s">
        <v>20</v>
      </c>
      <c r="C57" s="178">
        <f>'TSLA Income Statement'!D35</f>
        <v>199</v>
      </c>
      <c r="D57" s="178">
        <f>'TSLA Income Statement'!C35</f>
        <v>471</v>
      </c>
      <c r="E57" s="198">
        <f>'TSLA Income Statement'!B35</f>
        <v>663</v>
      </c>
      <c r="F57" s="72">
        <f>F96*0.06</f>
        <v>648.87599999999986</v>
      </c>
      <c r="G57" s="72">
        <f t="shared" ref="G57:M57" si="16">G96*0.06</f>
        <v>746.20739999999978</v>
      </c>
      <c r="H57" s="72">
        <f t="shared" si="16"/>
        <v>858.13850999999966</v>
      </c>
      <c r="I57" s="72">
        <f t="shared" si="16"/>
        <v>986.85928649999971</v>
      </c>
      <c r="J57" s="72">
        <f t="shared" si="16"/>
        <v>1134.8881794749993</v>
      </c>
      <c r="K57" s="72">
        <f t="shared" si="16"/>
        <v>1305.1214063962493</v>
      </c>
      <c r="L57" s="72">
        <f t="shared" si="16"/>
        <v>1500.8896173556866</v>
      </c>
      <c r="M57" s="72">
        <f t="shared" si="16"/>
        <v>1726.0230599590395</v>
      </c>
      <c r="N57" s="28" t="s">
        <v>318</v>
      </c>
    </row>
    <row r="58" spans="2:14">
      <c r="B58" s="2" t="s">
        <v>21</v>
      </c>
      <c r="C58" s="178">
        <f>'TSLA Income Statement'!D36</f>
        <v>-945</v>
      </c>
      <c r="D58" s="178">
        <f>'TSLA Income Statement'!C36</f>
        <v>-2677</v>
      </c>
      <c r="E58" s="198">
        <f>'TSLA Income Statement'!B36</f>
        <v>-1667</v>
      </c>
      <c r="F58" s="72">
        <f>F56-F57</f>
        <v>467.09599999999716</v>
      </c>
      <c r="G58" s="72">
        <f>G56-G57</f>
        <v>648.75759999999718</v>
      </c>
      <c r="H58" s="72">
        <f>H56-H57</f>
        <v>2193.3474274999999</v>
      </c>
      <c r="I58" s="72">
        <f>I56-I57</f>
        <v>3023.6650885000004</v>
      </c>
      <c r="J58" s="72">
        <f>J56-J57</f>
        <v>4053.7277306812493</v>
      </c>
      <c r="K58" s="72">
        <f t="shared" ref="K58:M58" si="17">K56-K57</f>
        <v>4298.5837765724937</v>
      </c>
      <c r="L58" s="72">
        <f t="shared" si="17"/>
        <v>4551.1119802505609</v>
      </c>
      <c r="M58" s="72">
        <f t="shared" si="17"/>
        <v>4628.5786175275152</v>
      </c>
    </row>
    <row r="59" spans="2:14">
      <c r="B59" s="2" t="s">
        <v>22</v>
      </c>
      <c r="C59" s="178">
        <f>'TSLA Income Statement'!D38</f>
        <v>26</v>
      </c>
      <c r="D59" s="178">
        <f>'TSLA Income Statement'!C38</f>
        <v>31</v>
      </c>
      <c r="E59" s="198">
        <f>'TSLA Income Statement'!B38</f>
        <v>58</v>
      </c>
      <c r="F59" s="72">
        <f t="shared" ref="F59:M59" si="18">F58*F69</f>
        <v>84.07727999999949</v>
      </c>
      <c r="G59" s="72">
        <f t="shared" si="18"/>
        <v>116.77636799999949</v>
      </c>
      <c r="H59" s="72">
        <f t="shared" si="18"/>
        <v>394.80253694999999</v>
      </c>
      <c r="I59" s="72">
        <f t="shared" si="18"/>
        <v>544.25971593000008</v>
      </c>
      <c r="J59" s="72">
        <f t="shared" si="18"/>
        <v>729.67099152262483</v>
      </c>
      <c r="K59" s="72">
        <f t="shared" si="18"/>
        <v>773.74507978304882</v>
      </c>
      <c r="L59" s="72">
        <f t="shared" si="18"/>
        <v>819.2001564451009</v>
      </c>
      <c r="M59" s="72">
        <f t="shared" si="18"/>
        <v>833.14415115495274</v>
      </c>
    </row>
    <row r="60" spans="2:14" ht="16.2">
      <c r="B60" s="18" t="s">
        <v>24</v>
      </c>
      <c r="C60" s="179">
        <f>'TSLA Income Statement'!D40</f>
        <v>-971</v>
      </c>
      <c r="D60" s="179">
        <f>'TSLA Income Statement'!C40</f>
        <v>-2708</v>
      </c>
      <c r="E60" s="199">
        <f>'TSLA Income Statement'!B40</f>
        <v>-1725</v>
      </c>
      <c r="F60" s="73">
        <f t="shared" ref="F60:M60" si="19">F58-F59</f>
        <v>383.01871999999764</v>
      </c>
      <c r="G60" s="73">
        <f t="shared" si="19"/>
        <v>531.9812319999977</v>
      </c>
      <c r="H60" s="73">
        <f t="shared" si="19"/>
        <v>1798.5448905499998</v>
      </c>
      <c r="I60" s="73">
        <f t="shared" si="19"/>
        <v>2479.4053725700005</v>
      </c>
      <c r="J60" s="73">
        <f t="shared" si="19"/>
        <v>3324.0567391586246</v>
      </c>
      <c r="K60" s="73">
        <f t="shared" si="19"/>
        <v>3524.8386967894448</v>
      </c>
      <c r="L60" s="73">
        <f t="shared" si="19"/>
        <v>3731.9118238054598</v>
      </c>
      <c r="M60" s="73">
        <f t="shared" si="19"/>
        <v>3795.4344663725624</v>
      </c>
    </row>
    <row r="61" spans="2:14">
      <c r="B61" s="3"/>
      <c r="C61" s="180"/>
      <c r="D61" s="180"/>
      <c r="E61" s="200"/>
      <c r="F61" s="64"/>
      <c r="G61" s="64"/>
      <c r="H61" s="64"/>
      <c r="I61" s="64"/>
    </row>
    <row r="62" spans="2:14">
      <c r="B62" s="2" t="s">
        <v>34</v>
      </c>
      <c r="C62" s="181"/>
      <c r="D62" s="181"/>
      <c r="E62" s="201"/>
      <c r="F62" s="75"/>
      <c r="G62" s="75"/>
      <c r="H62" s="75"/>
      <c r="I62" s="75"/>
      <c r="J62" s="75"/>
      <c r="K62" s="75"/>
      <c r="L62" s="75"/>
      <c r="M62" s="75"/>
    </row>
    <row r="63" spans="2:14">
      <c r="B63" s="28"/>
      <c r="C63" s="182"/>
      <c r="D63" s="182"/>
      <c r="E63" s="202"/>
      <c r="F63" s="28"/>
      <c r="G63" s="28"/>
      <c r="H63" s="28"/>
    </row>
    <row r="64" spans="2:14">
      <c r="B64" s="129" t="s">
        <v>280</v>
      </c>
      <c r="C64" s="183"/>
      <c r="D64" s="183"/>
      <c r="E64" s="203"/>
      <c r="F64" s="28"/>
      <c r="G64" s="28"/>
      <c r="H64" s="28"/>
    </row>
    <row r="65" spans="1:14">
      <c r="B65" s="172" t="s">
        <v>262</v>
      </c>
      <c r="C65" s="184">
        <v>0.73</v>
      </c>
      <c r="D65" s="184">
        <f>(D45-C45)/C45</f>
        <v>0.68033723921120315</v>
      </c>
      <c r="E65" s="204">
        <f>(E45-D45)/D45</f>
        <v>0.8250701590271281</v>
      </c>
      <c r="F65" s="229">
        <v>0.3</v>
      </c>
      <c r="G65" s="229">
        <v>0.25</v>
      </c>
      <c r="H65" s="229">
        <v>0.25</v>
      </c>
      <c r="I65" s="229">
        <v>0.15</v>
      </c>
      <c r="J65" s="229">
        <v>0.15</v>
      </c>
      <c r="K65" s="229">
        <v>0.08</v>
      </c>
      <c r="L65" s="229">
        <v>0.08</v>
      </c>
      <c r="M65" s="229">
        <v>0.05</v>
      </c>
    </row>
    <row r="66" spans="1:14">
      <c r="B66" s="172" t="s">
        <v>259</v>
      </c>
      <c r="C66" s="185">
        <f>C46/C45</f>
        <v>0.77150614461274647</v>
      </c>
      <c r="D66" s="185">
        <f>D46/D45</f>
        <v>0.81086827111148907</v>
      </c>
      <c r="E66" s="205">
        <f>E46/E45</f>
        <v>0.81165835701971012</v>
      </c>
      <c r="F66" s="229">
        <v>0.8</v>
      </c>
      <c r="G66" s="229">
        <v>0.8</v>
      </c>
      <c r="H66" s="229">
        <v>0.8</v>
      </c>
      <c r="I66" s="229">
        <v>0.8</v>
      </c>
      <c r="J66" s="229">
        <v>0.8</v>
      </c>
      <c r="K66" s="229">
        <v>0.8</v>
      </c>
      <c r="L66" s="229">
        <v>0.8</v>
      </c>
      <c r="M66" s="229">
        <v>0.8</v>
      </c>
      <c r="N66" t="s">
        <v>296</v>
      </c>
    </row>
    <row r="67" spans="1:14">
      <c r="B67" s="172" t="s">
        <v>260</v>
      </c>
      <c r="C67" s="185">
        <f>C49/C45</f>
        <v>0.20462989425550157</v>
      </c>
      <c r="D67" s="185">
        <f>D49/D45</f>
        <v>0.2105621226294753</v>
      </c>
      <c r="E67" s="205">
        <f>E49/E45</f>
        <v>6.6725688458133356E-2</v>
      </c>
      <c r="F67" s="229">
        <v>0.08</v>
      </c>
      <c r="G67" s="229">
        <v>0.08</v>
      </c>
      <c r="H67" s="229">
        <v>0.08</v>
      </c>
      <c r="I67" s="229">
        <v>0.08</v>
      </c>
      <c r="J67" s="229">
        <v>0.08</v>
      </c>
      <c r="K67" s="229">
        <v>0.08</v>
      </c>
      <c r="L67" s="229">
        <v>0.08</v>
      </c>
      <c r="M67" s="229">
        <v>0.08</v>
      </c>
    </row>
    <row r="68" spans="1:14">
      <c r="B68" s="172" t="s">
        <v>261</v>
      </c>
      <c r="C68" s="185">
        <f t="shared" ref="C68:M68" si="20">C56/C45</f>
        <v>-0.10660188625321521</v>
      </c>
      <c r="D68" s="185">
        <f t="shared" si="20"/>
        <v>-0.18760098647844203</v>
      </c>
      <c r="E68" s="205">
        <f t="shared" si="20"/>
        <v>-4.6782535762546013E-2</v>
      </c>
      <c r="F68" s="121">
        <f t="shared" si="20"/>
        <v>3.9999999999999897E-2</v>
      </c>
      <c r="G68" s="121">
        <f t="shared" si="20"/>
        <v>3.9999999999999911E-2</v>
      </c>
      <c r="H68" s="121">
        <f t="shared" si="20"/>
        <v>6.9999999999999993E-2</v>
      </c>
      <c r="I68" s="121">
        <f t="shared" si="20"/>
        <v>8.0000000000000016E-2</v>
      </c>
      <c r="J68" s="121">
        <f t="shared" si="20"/>
        <v>0.09</v>
      </c>
      <c r="K68" s="121">
        <f t="shared" si="20"/>
        <v>8.9999999999999913E-2</v>
      </c>
      <c r="L68" s="121">
        <f t="shared" si="20"/>
        <v>8.9999999999999983E-2</v>
      </c>
      <c r="M68" s="121">
        <f t="shared" si="20"/>
        <v>8.99999999999999E-2</v>
      </c>
    </row>
    <row r="69" spans="1:14">
      <c r="B69" s="294" t="s">
        <v>203</v>
      </c>
      <c r="C69" s="185">
        <f>C59/C58</f>
        <v>-2.7513227513227514E-2</v>
      </c>
      <c r="D69" s="185">
        <f>D59/D58</f>
        <v>-1.1580127007844603E-2</v>
      </c>
      <c r="E69" s="205">
        <f>E59/E58</f>
        <v>-3.4793041391721659E-2</v>
      </c>
      <c r="F69" s="229">
        <v>0.18</v>
      </c>
      <c r="G69" s="229">
        <v>0.18</v>
      </c>
      <c r="H69" s="229">
        <v>0.18</v>
      </c>
      <c r="I69" s="229">
        <v>0.18</v>
      </c>
      <c r="J69" s="229">
        <v>0.18</v>
      </c>
      <c r="K69" s="229">
        <v>0.18</v>
      </c>
      <c r="L69" s="229">
        <v>0.18</v>
      </c>
      <c r="M69" s="229">
        <v>0.18</v>
      </c>
    </row>
    <row r="70" spans="1:14">
      <c r="B70" s="28"/>
      <c r="C70" s="182"/>
      <c r="D70" s="182"/>
      <c r="E70" s="202"/>
      <c r="F70" s="28"/>
      <c r="G70" s="28"/>
      <c r="H70" s="28"/>
      <c r="I70" s="28"/>
    </row>
    <row r="71" spans="1:14">
      <c r="B71" s="28"/>
      <c r="C71" s="182"/>
      <c r="D71" s="182"/>
      <c r="E71" s="202"/>
      <c r="F71" s="28"/>
      <c r="G71" s="28"/>
    </row>
    <row r="72" spans="1:14">
      <c r="A72" s="18" t="s">
        <v>207</v>
      </c>
      <c r="B72" s="18"/>
      <c r="C72" s="186"/>
      <c r="D72" s="186"/>
      <c r="E72" s="206"/>
      <c r="F72" s="18"/>
      <c r="G72" s="18"/>
      <c r="H72" s="18"/>
    </row>
    <row r="73" spans="1:14" ht="15" thickBot="1">
      <c r="A73" s="17"/>
      <c r="B73" s="65" t="s">
        <v>3</v>
      </c>
      <c r="C73" s="173">
        <f>C44</f>
        <v>2016</v>
      </c>
      <c r="D73" s="173">
        <f t="shared" ref="D73:E73" si="21">D44</f>
        <v>2017</v>
      </c>
      <c r="E73" s="173">
        <f t="shared" si="21"/>
        <v>2018</v>
      </c>
      <c r="F73" s="192" t="str">
        <f>F44</f>
        <v>2019E</v>
      </c>
      <c r="G73" s="116" t="s">
        <v>199</v>
      </c>
      <c r="H73" s="116" t="s">
        <v>200</v>
      </c>
      <c r="I73" s="116" t="s">
        <v>201</v>
      </c>
      <c r="J73" s="116" t="s">
        <v>202</v>
      </c>
      <c r="K73" s="116" t="s">
        <v>257</v>
      </c>
      <c r="L73" s="116" t="s">
        <v>258</v>
      </c>
      <c r="M73" s="116" t="s">
        <v>290</v>
      </c>
    </row>
    <row r="74" spans="1:14" ht="15" thickTop="1">
      <c r="A74" s="18" t="s">
        <v>36</v>
      </c>
      <c r="B74" s="18"/>
      <c r="C74" s="186"/>
      <c r="D74" s="186"/>
      <c r="E74" s="206"/>
      <c r="F74" s="18"/>
      <c r="G74" s="18"/>
    </row>
    <row r="75" spans="1:14">
      <c r="B75" s="2" t="s">
        <v>37</v>
      </c>
      <c r="C75" s="176">
        <f>'TSLA Balance Sheet'!E9</f>
        <v>3393</v>
      </c>
      <c r="D75" s="176">
        <f>'TSLA Balance Sheet'!D9</f>
        <v>3368</v>
      </c>
      <c r="E75" s="196">
        <f>'TSLA Balance Sheet'!C9</f>
        <v>3686</v>
      </c>
      <c r="F75" s="15">
        <f t="shared" ref="F75:M75" si="22">F80-SUM(F77:F79)</f>
        <v>3255.0739000000003</v>
      </c>
      <c r="G75" s="15">
        <f t="shared" si="22"/>
        <v>4068.8423750000002</v>
      </c>
      <c r="H75" s="15">
        <f t="shared" si="22"/>
        <v>5086.0529687500002</v>
      </c>
      <c r="I75" s="15">
        <f t="shared" si="22"/>
        <v>5848.960914062498</v>
      </c>
      <c r="J75" s="15">
        <f t="shared" si="22"/>
        <v>6726.305051171872</v>
      </c>
      <c r="K75" s="15">
        <f t="shared" si="22"/>
        <v>7264.4094552656243</v>
      </c>
      <c r="L75" s="15">
        <f t="shared" si="22"/>
        <v>7845.562211686869</v>
      </c>
      <c r="M75" s="15">
        <f t="shared" si="22"/>
        <v>8237.840322271215</v>
      </c>
    </row>
    <row r="76" spans="1:14">
      <c r="A76" s="17"/>
      <c r="B76" s="17" t="s">
        <v>38</v>
      </c>
      <c r="C76" s="176">
        <f>'TSLA Balance Sheet'!E10</f>
        <v>105</v>
      </c>
      <c r="D76" s="176">
        <f>'TSLA Balance Sheet'!D10</f>
        <v>155</v>
      </c>
      <c r="E76" s="196">
        <f>'TSLA Balance Sheet'!C10</f>
        <v>192</v>
      </c>
      <c r="F76" s="146">
        <v>0</v>
      </c>
      <c r="G76" s="146">
        <v>0</v>
      </c>
      <c r="H76" s="146">
        <v>0</v>
      </c>
      <c r="I76" s="146">
        <v>0</v>
      </c>
      <c r="J76" s="146">
        <v>0</v>
      </c>
      <c r="K76" s="146">
        <v>0</v>
      </c>
      <c r="L76" s="146">
        <v>0</v>
      </c>
      <c r="M76" s="146">
        <v>0</v>
      </c>
    </row>
    <row r="77" spans="1:14">
      <c r="A77" s="17"/>
      <c r="B77" s="17" t="s">
        <v>39</v>
      </c>
      <c r="C77" s="176">
        <f>'TSLA Balance Sheet'!E11</f>
        <v>499</v>
      </c>
      <c r="D77" s="176">
        <f>'TSLA Balance Sheet'!D11</f>
        <v>515</v>
      </c>
      <c r="E77" s="196">
        <f>'TSLA Balance Sheet'!C11</f>
        <v>949</v>
      </c>
      <c r="F77" s="146">
        <f>E77*(1+F$65)</f>
        <v>1233.7</v>
      </c>
      <c r="G77" s="146">
        <f t="shared" ref="G77:M77" si="23">F77*(1+G$65)</f>
        <v>1542.125</v>
      </c>
      <c r="H77" s="146">
        <f t="shared" si="23"/>
        <v>1927.65625</v>
      </c>
      <c r="I77" s="146">
        <f t="shared" si="23"/>
        <v>2216.8046875</v>
      </c>
      <c r="J77" s="146">
        <f t="shared" si="23"/>
        <v>2549.3253906249997</v>
      </c>
      <c r="K77" s="146">
        <f t="shared" si="23"/>
        <v>2753.2714218749998</v>
      </c>
      <c r="L77" s="146">
        <f t="shared" si="23"/>
        <v>2973.5331356249999</v>
      </c>
      <c r="M77" s="146">
        <f t="shared" si="23"/>
        <v>3122.20979240625</v>
      </c>
      <c r="N77" t="s">
        <v>294</v>
      </c>
    </row>
    <row r="78" spans="1:14">
      <c r="A78" s="17"/>
      <c r="B78" s="17" t="s">
        <v>40</v>
      </c>
      <c r="C78" s="176">
        <f>'TSLA Balance Sheet'!E12</f>
        <v>2067</v>
      </c>
      <c r="D78" s="176">
        <f>'TSLA Balance Sheet'!D12</f>
        <v>2263</v>
      </c>
      <c r="E78" s="196">
        <f>'TSLA Balance Sheet'!C12</f>
        <v>3113</v>
      </c>
      <c r="F78" s="146">
        <f>E78*(1+F$65)</f>
        <v>4046.9</v>
      </c>
      <c r="G78" s="146">
        <f t="shared" ref="G78:M78" si="24">F78*(1+G$65)</f>
        <v>5058.625</v>
      </c>
      <c r="H78" s="146">
        <f t="shared" si="24"/>
        <v>6323.28125</v>
      </c>
      <c r="I78" s="146">
        <f t="shared" si="24"/>
        <v>7271.7734374999991</v>
      </c>
      <c r="J78" s="146">
        <f t="shared" si="24"/>
        <v>8362.5394531249985</v>
      </c>
      <c r="K78" s="146">
        <f t="shared" si="24"/>
        <v>9031.5426093749993</v>
      </c>
      <c r="L78" s="146">
        <f t="shared" si="24"/>
        <v>9754.0660181250005</v>
      </c>
      <c r="M78" s="146">
        <f t="shared" si="24"/>
        <v>10241.769319031251</v>
      </c>
      <c r="N78" t="s">
        <v>294</v>
      </c>
    </row>
    <row r="79" spans="1:14">
      <c r="A79" s="17"/>
      <c r="B79" s="17" t="s">
        <v>41</v>
      </c>
      <c r="C79" s="176">
        <f>'TSLA Balance Sheet'!E13</f>
        <v>194</v>
      </c>
      <c r="D79" s="176">
        <f>'TSLA Balance Sheet'!D13</f>
        <v>268</v>
      </c>
      <c r="E79" s="196">
        <f>'TSLA Balance Sheet'!C13</f>
        <v>366</v>
      </c>
      <c r="F79" s="146">
        <f>E79*(1+F$65)</f>
        <v>475.8</v>
      </c>
      <c r="G79" s="146">
        <f t="shared" ref="G79:M79" si="25">F79*(1+G$65)</f>
        <v>594.75</v>
      </c>
      <c r="H79" s="146">
        <f t="shared" si="25"/>
        <v>743.4375</v>
      </c>
      <c r="I79" s="146">
        <f t="shared" si="25"/>
        <v>854.95312499999989</v>
      </c>
      <c r="J79" s="146">
        <f t="shared" si="25"/>
        <v>983.19609374999982</v>
      </c>
      <c r="K79" s="146">
        <f t="shared" si="25"/>
        <v>1061.8517812499999</v>
      </c>
      <c r="L79" s="146">
        <f t="shared" si="25"/>
        <v>1146.7999237500001</v>
      </c>
      <c r="M79" s="146">
        <f t="shared" si="25"/>
        <v>1204.1399199375001</v>
      </c>
      <c r="N79" t="s">
        <v>294</v>
      </c>
    </row>
    <row r="80" spans="1:14">
      <c r="A80" s="18" t="s">
        <v>42</v>
      </c>
      <c r="B80" s="17"/>
      <c r="C80" s="176">
        <f>'TSLA Balance Sheet'!E14</f>
        <v>6258</v>
      </c>
      <c r="D80" s="176">
        <f>'TSLA Balance Sheet'!D14</f>
        <v>6569</v>
      </c>
      <c r="E80" s="196">
        <f>'TSLA Balance Sheet'!C14</f>
        <v>8306</v>
      </c>
      <c r="F80" s="227">
        <f t="shared" ref="F80:M80" si="26">F45*F120</f>
        <v>9011.4739000000009</v>
      </c>
      <c r="G80" s="227">
        <f t="shared" si="26"/>
        <v>11264.342375</v>
      </c>
      <c r="H80" s="227">
        <f t="shared" si="26"/>
        <v>14080.42796875</v>
      </c>
      <c r="I80" s="227">
        <f t="shared" si="26"/>
        <v>16192.492164062498</v>
      </c>
      <c r="J80" s="227">
        <f t="shared" si="26"/>
        <v>18621.365988671871</v>
      </c>
      <c r="K80" s="227">
        <f t="shared" si="26"/>
        <v>20111.075267765624</v>
      </c>
      <c r="L80" s="227">
        <f t="shared" si="26"/>
        <v>21719.961289186871</v>
      </c>
      <c r="M80" s="227">
        <f t="shared" si="26"/>
        <v>22805.959353646216</v>
      </c>
      <c r="N80" t="s">
        <v>297</v>
      </c>
    </row>
    <row r="81" spans="1:14">
      <c r="A81" s="18" t="s">
        <v>43</v>
      </c>
      <c r="B81" s="18"/>
      <c r="C81" s="176"/>
      <c r="D81" s="176"/>
      <c r="E81" s="196"/>
      <c r="F81" s="228"/>
      <c r="G81" s="18"/>
      <c r="H81" s="18"/>
      <c r="I81" s="18"/>
    </row>
    <row r="82" spans="1:14">
      <c r="A82" s="17"/>
      <c r="B82" s="17" t="s">
        <v>44</v>
      </c>
      <c r="C82" s="176">
        <f>'TSLA Balance Sheet'!E18</f>
        <v>5982</v>
      </c>
      <c r="D82" s="176">
        <f>'TSLA Balance Sheet'!D18</f>
        <v>10027</v>
      </c>
      <c r="E82" s="196">
        <f>'TSLA Balance Sheet'!C18</f>
        <v>11330</v>
      </c>
      <c r="F82" s="146">
        <f t="shared" ref="F82:M82" si="27">F83+F84</f>
        <v>13596</v>
      </c>
      <c r="G82" s="146">
        <f t="shared" si="27"/>
        <v>16043.279999999999</v>
      </c>
      <c r="H82" s="146">
        <f t="shared" si="27"/>
        <v>18931.070399999997</v>
      </c>
      <c r="I82" s="146">
        <f t="shared" si="27"/>
        <v>21770.730959999994</v>
      </c>
      <c r="J82" s="146">
        <f t="shared" si="27"/>
        <v>24383.218675199994</v>
      </c>
      <c r="K82" s="146">
        <f t="shared" si="27"/>
        <v>26821.540542719995</v>
      </c>
      <c r="L82" s="146">
        <f t="shared" si="27"/>
        <v>28967.263786137595</v>
      </c>
      <c r="M82" s="146">
        <f t="shared" si="27"/>
        <v>30705.299613305851</v>
      </c>
    </row>
    <row r="83" spans="1:14">
      <c r="A83" s="17"/>
      <c r="B83" s="17" t="s">
        <v>45</v>
      </c>
      <c r="C83" s="176"/>
      <c r="D83" s="176"/>
      <c r="E83" s="196"/>
      <c r="F83" s="146"/>
      <c r="G83" s="146"/>
      <c r="H83" s="146"/>
      <c r="I83" s="146"/>
      <c r="J83" s="15"/>
      <c r="K83" s="15"/>
      <c r="L83" s="15"/>
      <c r="M83" s="15"/>
    </row>
    <row r="84" spans="1:14">
      <c r="A84" s="17"/>
      <c r="B84" s="17" t="s">
        <v>46</v>
      </c>
      <c r="C84" s="176">
        <f>'TSLA Balance Sheet'!E18</f>
        <v>5982</v>
      </c>
      <c r="D84" s="176">
        <f>'TSLA Balance Sheet'!D18</f>
        <v>10027</v>
      </c>
      <c r="E84" s="196">
        <f>'TSLA Balance Sheet'!C18</f>
        <v>11330</v>
      </c>
      <c r="F84" s="146">
        <f t="shared" ref="F84:M84" si="28">E84*(1+F123)</f>
        <v>13596</v>
      </c>
      <c r="G84" s="146">
        <f t="shared" si="28"/>
        <v>16043.279999999999</v>
      </c>
      <c r="H84" s="146">
        <f t="shared" si="28"/>
        <v>18931.070399999997</v>
      </c>
      <c r="I84" s="146">
        <f t="shared" si="28"/>
        <v>21770.730959999994</v>
      </c>
      <c r="J84" s="146">
        <f t="shared" si="28"/>
        <v>24383.218675199994</v>
      </c>
      <c r="K84" s="146">
        <f t="shared" si="28"/>
        <v>26821.540542719995</v>
      </c>
      <c r="L84" s="146">
        <f t="shared" si="28"/>
        <v>28967.263786137595</v>
      </c>
      <c r="M84" s="146">
        <f t="shared" si="28"/>
        <v>30705.299613305851</v>
      </c>
    </row>
    <row r="85" spans="1:14">
      <c r="A85" s="17"/>
      <c r="B85" s="17" t="s">
        <v>47</v>
      </c>
      <c r="C85" s="176">
        <f>'TSLA Balance Sheet'!E19</f>
        <v>376</v>
      </c>
      <c r="D85" s="176">
        <f>'TSLA Balance Sheet'!D19</f>
        <v>362</v>
      </c>
      <c r="E85" s="196">
        <f>'TSLA Balance Sheet'!C19</f>
        <v>282</v>
      </c>
      <c r="F85" s="146">
        <v>0</v>
      </c>
      <c r="G85" s="146">
        <v>0</v>
      </c>
      <c r="H85" s="146">
        <v>0</v>
      </c>
      <c r="I85" s="146">
        <v>0</v>
      </c>
      <c r="J85" s="146">
        <v>0</v>
      </c>
      <c r="K85" s="146">
        <v>0</v>
      </c>
      <c r="L85" s="146">
        <v>0</v>
      </c>
      <c r="M85" s="146">
        <v>0</v>
      </c>
    </row>
    <row r="86" spans="1:14">
      <c r="A86" s="17"/>
      <c r="B86" s="17" t="s">
        <v>48</v>
      </c>
      <c r="C86" s="176">
        <f>'TSLA Balance Sheet'!E22</f>
        <v>216</v>
      </c>
      <c r="D86" s="176">
        <f>'TSLA Balance Sheet'!D22</f>
        <v>442</v>
      </c>
      <c r="E86" s="196">
        <f>'TSLA Balance Sheet'!C22</f>
        <v>571</v>
      </c>
      <c r="F86" s="146">
        <v>0</v>
      </c>
      <c r="G86" s="146">
        <v>0</v>
      </c>
      <c r="H86" s="146">
        <v>0</v>
      </c>
      <c r="I86" s="146">
        <v>0</v>
      </c>
      <c r="J86" s="146">
        <v>0</v>
      </c>
      <c r="K86" s="146">
        <v>0</v>
      </c>
      <c r="L86" s="146">
        <v>0</v>
      </c>
      <c r="M86" s="146">
        <v>0</v>
      </c>
    </row>
    <row r="87" spans="1:14" ht="15.6">
      <c r="A87" s="17"/>
      <c r="B87" s="17" t="s">
        <v>49</v>
      </c>
      <c r="C87" s="176">
        <f>'TSLA Balance Sheet'!E23</f>
        <v>15895</v>
      </c>
      <c r="D87" s="176">
        <f>'TSLA Balance Sheet'!D23</f>
        <v>21812</v>
      </c>
      <c r="E87" s="196">
        <f>'TSLA Balance Sheet'!C23</f>
        <v>21009</v>
      </c>
      <c r="F87" s="11">
        <f>E87*(1+G123)</f>
        <v>24790.62</v>
      </c>
      <c r="G87" s="11">
        <f t="shared" ref="G87:M87" si="29">F87*(1+H123)</f>
        <v>29252.931599999996</v>
      </c>
      <c r="H87" s="11">
        <f t="shared" si="29"/>
        <v>33640.871339999991</v>
      </c>
      <c r="I87" s="11">
        <f t="shared" si="29"/>
        <v>37677.775900799992</v>
      </c>
      <c r="J87" s="11">
        <f t="shared" si="29"/>
        <v>41445.553490879996</v>
      </c>
      <c r="K87" s="11">
        <f t="shared" si="29"/>
        <v>44761.1977701504</v>
      </c>
      <c r="L87" s="11">
        <f t="shared" si="29"/>
        <v>47446.869636359428</v>
      </c>
      <c r="M87" s="11">
        <f t="shared" si="29"/>
        <v>47446.869636359428</v>
      </c>
    </row>
    <row r="88" spans="1:14" ht="15.6">
      <c r="A88" s="18" t="s">
        <v>50</v>
      </c>
      <c r="B88" s="17"/>
      <c r="C88" s="176">
        <f>'TSLA Balance Sheet'!E24</f>
        <v>22664</v>
      </c>
      <c r="D88" s="176">
        <f>'TSLA Balance Sheet'!D24</f>
        <v>28655</v>
      </c>
      <c r="E88" s="196">
        <f>'TSLA Balance Sheet'!C24</f>
        <v>29739</v>
      </c>
      <c r="F88" s="12">
        <f t="shared" ref="F88:L88" si="30">F80+F87</f>
        <v>33802.0939</v>
      </c>
      <c r="G88" s="12">
        <f t="shared" si="30"/>
        <v>40517.273974999996</v>
      </c>
      <c r="H88" s="12">
        <f t="shared" si="30"/>
        <v>47721.299308749993</v>
      </c>
      <c r="I88" s="12">
        <f t="shared" si="30"/>
        <v>53870.268064862488</v>
      </c>
      <c r="J88" s="12">
        <f t="shared" si="30"/>
        <v>60066.919479551871</v>
      </c>
      <c r="K88" s="12">
        <f t="shared" si="30"/>
        <v>64872.27303791602</v>
      </c>
      <c r="L88" s="12">
        <f t="shared" si="30"/>
        <v>69166.830925546295</v>
      </c>
      <c r="M88" s="12">
        <f t="shared" ref="M88" si="31">M80+M87</f>
        <v>70252.828990005641</v>
      </c>
    </row>
    <row r="89" spans="1:14" ht="15.6">
      <c r="A89" s="17"/>
      <c r="B89" s="17"/>
      <c r="C89" s="176"/>
      <c r="D89" s="176"/>
      <c r="E89" s="196"/>
      <c r="F89" s="12"/>
      <c r="G89" s="12"/>
      <c r="H89" s="12"/>
      <c r="I89" s="12"/>
    </row>
    <row r="90" spans="1:14">
      <c r="A90" s="18" t="s">
        <v>51</v>
      </c>
      <c r="B90" s="18"/>
      <c r="C90" s="296"/>
      <c r="D90" s="296"/>
      <c r="E90" s="207"/>
      <c r="F90" s="18"/>
      <c r="G90" s="18"/>
      <c r="H90" s="18"/>
      <c r="I90" s="18"/>
    </row>
    <row r="91" spans="1:14">
      <c r="A91" s="17"/>
      <c r="B91" s="17" t="s">
        <v>52</v>
      </c>
      <c r="C91" s="188">
        <f>'TSLA Balance Sheet'!E27</f>
        <v>1860</v>
      </c>
      <c r="D91" s="188">
        <f>'TSLA Balance Sheet'!D27</f>
        <v>2390</v>
      </c>
      <c r="E91" s="208">
        <f>'TSLA Balance Sheet'!C27</f>
        <v>3404</v>
      </c>
      <c r="F91" s="146">
        <f>E91*(1+F$65)</f>
        <v>4425.2</v>
      </c>
      <c r="G91" s="146">
        <f t="shared" ref="G91:M93" si="32">F91*(1+G$65)</f>
        <v>5531.5</v>
      </c>
      <c r="H91" s="146">
        <f t="shared" si="32"/>
        <v>6914.375</v>
      </c>
      <c r="I91" s="146">
        <f t="shared" si="32"/>
        <v>7951.5312499999991</v>
      </c>
      <c r="J91" s="146">
        <f t="shared" si="32"/>
        <v>9144.2609374999975</v>
      </c>
      <c r="K91" s="146">
        <f t="shared" si="32"/>
        <v>9875.8018124999981</v>
      </c>
      <c r="L91" s="146">
        <f t="shared" si="32"/>
        <v>10665.865957499998</v>
      </c>
      <c r="M91" s="146">
        <f t="shared" si="32"/>
        <v>11199.159255374998</v>
      </c>
      <c r="N91" t="s">
        <v>294</v>
      </c>
    </row>
    <row r="92" spans="1:14">
      <c r="A92" s="17"/>
      <c r="B92" s="17" t="s">
        <v>53</v>
      </c>
      <c r="C92" s="188">
        <f>'TSLA Balance Sheet'!E28</f>
        <v>1210</v>
      </c>
      <c r="D92" s="188">
        <f>'TSLA Balance Sheet'!D28</f>
        <v>1731</v>
      </c>
      <c r="E92" s="208">
        <f>'TSLA Balance Sheet'!C28</f>
        <v>2094</v>
      </c>
      <c r="F92" s="146">
        <f>E92*1.2</f>
        <v>2512.7999999999997</v>
      </c>
      <c r="G92" s="146">
        <f t="shared" ref="G92:M92" si="33">F92*1.2</f>
        <v>3015.3599999999997</v>
      </c>
      <c r="H92" s="146">
        <f t="shared" si="33"/>
        <v>3618.4319999999993</v>
      </c>
      <c r="I92" s="146">
        <f t="shared" si="33"/>
        <v>4342.1183999999994</v>
      </c>
      <c r="J92" s="146">
        <f t="shared" si="33"/>
        <v>5210.5420799999993</v>
      </c>
      <c r="K92" s="146">
        <f t="shared" si="33"/>
        <v>6252.6504959999993</v>
      </c>
      <c r="L92" s="146">
        <f t="shared" si="33"/>
        <v>7503.1805951999986</v>
      </c>
      <c r="M92" s="146">
        <f t="shared" si="33"/>
        <v>9003.816714239998</v>
      </c>
      <c r="N92" t="s">
        <v>404</v>
      </c>
    </row>
    <row r="93" spans="1:14">
      <c r="A93" s="17"/>
      <c r="B93" s="17" t="s">
        <v>54</v>
      </c>
      <c r="C93" s="188">
        <f>'TSLA Balance Sheet'!E29+SUM('TSLA Balance Sheet'!E30:E32,'TSLA Balance Sheet'!E28)</f>
        <v>3800</v>
      </c>
      <c r="D93" s="208">
        <f>'TSLA Balance Sheet'!D29+SUM('TSLA Balance Sheet'!D30:D32,'TSLA Balance Sheet'!D28)</f>
        <v>5174</v>
      </c>
      <c r="E93" s="208">
        <f>'TSLA Balance Sheet'!C29+SUM('TSLA Balance Sheet'!C30:C32,'TSLA Balance Sheet'!C28)</f>
        <v>4524</v>
      </c>
      <c r="F93" s="146">
        <v>4000</v>
      </c>
      <c r="G93" s="146">
        <f t="shared" si="32"/>
        <v>5000</v>
      </c>
      <c r="H93" s="146">
        <f t="shared" ref="H93" si="34">G93*(1+H$65)</f>
        <v>6250</v>
      </c>
      <c r="I93" s="146">
        <f t="shared" ref="I93" si="35">H93*(1+I$65)</f>
        <v>7187.4999999999991</v>
      </c>
      <c r="J93" s="146">
        <f t="shared" ref="J93" si="36">I93*(1+J$65)</f>
        <v>8265.6249999999982</v>
      </c>
      <c r="K93" s="146">
        <f t="shared" ref="K93" si="37">J93*(1+K$65)</f>
        <v>8926.8749999999982</v>
      </c>
      <c r="L93" s="146">
        <f t="shared" ref="L93" si="38">K93*(1+L$65)</f>
        <v>9641.0249999999978</v>
      </c>
      <c r="M93" s="146">
        <f t="shared" ref="M93" si="39">L93*(1+M$65)</f>
        <v>10123.076249999998</v>
      </c>
      <c r="N93" t="s">
        <v>406</v>
      </c>
    </row>
    <row r="94" spans="1:14" ht="16.2">
      <c r="A94" s="18" t="s">
        <v>55</v>
      </c>
      <c r="B94" s="17"/>
      <c r="C94" s="188">
        <f>'TSLA Balance Sheet'!E34</f>
        <v>5826</v>
      </c>
      <c r="D94" s="188">
        <f>'TSLA Balance Sheet'!D34</f>
        <v>8361</v>
      </c>
      <c r="E94" s="208">
        <f>'TSLA Balance Sheet'!C34</f>
        <v>10496</v>
      </c>
      <c r="F94" s="147">
        <f>SUM(F91:F93)</f>
        <v>10938</v>
      </c>
      <c r="G94" s="147">
        <f t="shared" ref="G94:M94" si="40">SUM(G91:G93)</f>
        <v>13546.86</v>
      </c>
      <c r="H94" s="147">
        <f t="shared" si="40"/>
        <v>16782.807000000001</v>
      </c>
      <c r="I94" s="147">
        <f t="shared" si="40"/>
        <v>19481.149649999999</v>
      </c>
      <c r="J94" s="147">
        <f t="shared" si="40"/>
        <v>22620.428017499995</v>
      </c>
      <c r="K94" s="147">
        <f t="shared" si="40"/>
        <v>25055.327308499996</v>
      </c>
      <c r="L94" s="147">
        <f t="shared" si="40"/>
        <v>27810.071552699996</v>
      </c>
      <c r="M94" s="147">
        <f t="shared" si="40"/>
        <v>30326.052219614994</v>
      </c>
    </row>
    <row r="95" spans="1:14">
      <c r="A95" s="18" t="s">
        <v>56</v>
      </c>
      <c r="B95" s="18"/>
      <c r="C95" s="187"/>
      <c r="D95" s="187"/>
      <c r="E95" s="207"/>
      <c r="F95" s="18"/>
      <c r="G95" s="18"/>
      <c r="H95" s="18"/>
      <c r="I95" s="18"/>
    </row>
    <row r="96" spans="1:14">
      <c r="A96" s="17"/>
      <c r="B96" s="17" t="s">
        <v>57</v>
      </c>
      <c r="C96" s="188">
        <f>'TSLA Balance Sheet'!E36</f>
        <v>5970</v>
      </c>
      <c r="D96" s="188">
        <f>'TSLA Balance Sheet'!D36</f>
        <v>9418</v>
      </c>
      <c r="E96" s="208">
        <f>'TSLA Balance Sheet'!C36</f>
        <v>9404</v>
      </c>
      <c r="F96" s="295">
        <f>E96*1.15</f>
        <v>10814.599999999999</v>
      </c>
      <c r="G96" s="295">
        <f t="shared" ref="G96:M96" si="41">F96*1.15</f>
        <v>12436.789999999997</v>
      </c>
      <c r="H96" s="295">
        <f t="shared" si="41"/>
        <v>14302.308499999996</v>
      </c>
      <c r="I96" s="295">
        <f t="shared" si="41"/>
        <v>16447.654774999995</v>
      </c>
      <c r="J96" s="295">
        <f t="shared" si="41"/>
        <v>18914.802991249991</v>
      </c>
      <c r="K96" s="295">
        <f t="shared" si="41"/>
        <v>21752.023439937489</v>
      </c>
      <c r="L96" s="295">
        <f t="shared" si="41"/>
        <v>25014.826955928111</v>
      </c>
      <c r="M96" s="295">
        <f t="shared" si="41"/>
        <v>28767.050999317325</v>
      </c>
    </row>
    <row r="97" spans="1:13">
      <c r="A97" s="17"/>
      <c r="B97" s="17" t="s">
        <v>58</v>
      </c>
      <c r="C97" s="188">
        <f>'TSLA Balance Sheet'!E37</f>
        <v>851</v>
      </c>
      <c r="D97" s="188">
        <f>'TSLA Balance Sheet'!D37</f>
        <v>1177</v>
      </c>
      <c r="E97" s="208">
        <f>'TSLA Balance Sheet'!C37</f>
        <v>990</v>
      </c>
      <c r="F97" s="146"/>
      <c r="G97" s="146"/>
      <c r="H97" s="146"/>
      <c r="I97" s="146"/>
    </row>
    <row r="98" spans="1:13">
      <c r="A98" s="17"/>
      <c r="B98" s="17" t="s">
        <v>59</v>
      </c>
      <c r="C98" s="188">
        <f>'TSLA Balance Sheet'!E39</f>
        <v>1891</v>
      </c>
      <c r="D98" s="188">
        <f>'TSLA Balance Sheet'!D39</f>
        <v>2443</v>
      </c>
      <c r="E98" s="208">
        <f>'TSLA Balance Sheet'!C39</f>
        <v>2710</v>
      </c>
      <c r="F98" s="146">
        <f>E98*1.1</f>
        <v>2981.0000000000005</v>
      </c>
      <c r="G98" s="146">
        <f t="shared" ref="G98:M98" si="42">F98*1.1</f>
        <v>3279.1000000000008</v>
      </c>
      <c r="H98" s="146">
        <f t="shared" si="42"/>
        <v>3607.0100000000011</v>
      </c>
      <c r="I98" s="146">
        <f t="shared" si="42"/>
        <v>3967.7110000000016</v>
      </c>
      <c r="J98" s="146">
        <f t="shared" si="42"/>
        <v>4364.482100000002</v>
      </c>
      <c r="K98" s="146">
        <f t="shared" si="42"/>
        <v>4800.9303100000025</v>
      </c>
      <c r="L98" s="146">
        <f t="shared" si="42"/>
        <v>5281.0233410000028</v>
      </c>
      <c r="M98" s="146">
        <f t="shared" si="42"/>
        <v>5809.1256751000037</v>
      </c>
    </row>
    <row r="99" spans="1:13" ht="16.2">
      <c r="A99" s="18" t="s">
        <v>60</v>
      </c>
      <c r="B99" s="17"/>
      <c r="C99" s="188">
        <f>'TSLA Balance Sheet'!E40</f>
        <v>10922</v>
      </c>
      <c r="D99" s="188">
        <f>'TSLA Balance Sheet'!D40</f>
        <v>15347</v>
      </c>
      <c r="E99" s="208">
        <f>'TSLA Balance Sheet'!C40</f>
        <v>13433</v>
      </c>
      <c r="F99" s="10">
        <f>SUM(F96:F98)</f>
        <v>13795.599999999999</v>
      </c>
      <c r="G99" s="10">
        <f t="shared" ref="G99:M99" si="43">SUM(G96:G98)</f>
        <v>15715.889999999998</v>
      </c>
      <c r="H99" s="10">
        <f t="shared" si="43"/>
        <v>17909.318499999998</v>
      </c>
      <c r="I99" s="10">
        <f t="shared" si="43"/>
        <v>20415.365774999998</v>
      </c>
      <c r="J99" s="10">
        <f t="shared" si="43"/>
        <v>23279.285091249993</v>
      </c>
      <c r="K99" s="10">
        <f t="shared" si="43"/>
        <v>26552.953749937493</v>
      </c>
      <c r="L99" s="10">
        <f t="shared" si="43"/>
        <v>30295.850296928114</v>
      </c>
      <c r="M99" s="10">
        <f t="shared" si="43"/>
        <v>34576.176674417329</v>
      </c>
    </row>
    <row r="100" spans="1:13" ht="15.6">
      <c r="A100" s="18" t="s">
        <v>61</v>
      </c>
      <c r="B100" s="17"/>
      <c r="C100" s="188">
        <f>'TSLA Balance Sheet'!E41</f>
        <v>16748</v>
      </c>
      <c r="D100" s="188">
        <f>'TSLA Balance Sheet'!D41</f>
        <v>23708</v>
      </c>
      <c r="E100" s="208">
        <f>'TSLA Balance Sheet'!C41</f>
        <v>23929</v>
      </c>
      <c r="F100" s="12">
        <f>SUM(F94+F99)</f>
        <v>24733.599999999999</v>
      </c>
      <c r="G100" s="12">
        <f t="shared" ref="G100:M100" si="44">SUM(G94+G99)</f>
        <v>29262.75</v>
      </c>
      <c r="H100" s="12">
        <f t="shared" si="44"/>
        <v>34692.125499999995</v>
      </c>
      <c r="I100" s="12">
        <f t="shared" si="44"/>
        <v>39896.515424999998</v>
      </c>
      <c r="J100" s="12">
        <f t="shared" si="44"/>
        <v>45899.713108749987</v>
      </c>
      <c r="K100" s="12">
        <f t="shared" si="44"/>
        <v>51608.281058437489</v>
      </c>
      <c r="L100" s="12">
        <f t="shared" si="44"/>
        <v>58105.92184962811</v>
      </c>
      <c r="M100" s="12">
        <f t="shared" si="44"/>
        <v>64902.22889403232</v>
      </c>
    </row>
    <row r="101" spans="1:13">
      <c r="A101" s="18"/>
      <c r="B101" s="17"/>
      <c r="C101" s="188"/>
      <c r="D101" s="188"/>
      <c r="E101" s="208"/>
      <c r="F101" s="17"/>
      <c r="G101" s="17"/>
      <c r="H101" s="17"/>
      <c r="I101" s="17"/>
    </row>
    <row r="102" spans="1:13">
      <c r="A102" s="18" t="s">
        <v>62</v>
      </c>
      <c r="B102" s="18"/>
      <c r="C102" s="188">
        <f>'TSLA Balance Sheet'!E43</f>
        <v>0</v>
      </c>
      <c r="D102" s="188">
        <f>'TSLA Balance Sheet'!D43</f>
        <v>0</v>
      </c>
      <c r="E102" s="208">
        <f>'TSLA Balance Sheet'!C43</f>
        <v>0</v>
      </c>
      <c r="F102" s="18"/>
      <c r="G102" s="18"/>
      <c r="H102" s="18"/>
      <c r="I102" s="18"/>
    </row>
    <row r="103" spans="1:13">
      <c r="A103" s="17"/>
      <c r="B103" s="17" t="s">
        <v>63</v>
      </c>
      <c r="C103" s="188">
        <f>'TSLA Balance Sheet'!E44</f>
        <v>0</v>
      </c>
      <c r="D103" s="188">
        <f>'TSLA Balance Sheet'!D44</f>
        <v>0</v>
      </c>
      <c r="E103" s="208">
        <f>'TSLA Balance Sheet'!C44</f>
        <v>0</v>
      </c>
      <c r="F103" s="146"/>
      <c r="G103" s="146"/>
      <c r="H103" s="146"/>
      <c r="I103" s="146"/>
    </row>
    <row r="104" spans="1:13">
      <c r="A104" s="17"/>
      <c r="B104" s="17" t="s">
        <v>64</v>
      </c>
      <c r="C104" s="188">
        <f>'TSLA Balance Sheet'!E45</f>
        <v>0</v>
      </c>
      <c r="D104" s="188">
        <f>'TSLA Balance Sheet'!D45</f>
        <v>0</v>
      </c>
      <c r="E104" s="208">
        <f>'TSLA Balance Sheet'!C45</f>
        <v>0</v>
      </c>
      <c r="F104" s="146"/>
      <c r="G104" s="146"/>
      <c r="H104" s="146"/>
      <c r="I104" s="146"/>
    </row>
    <row r="105" spans="1:13">
      <c r="A105" s="17"/>
      <c r="B105" s="17" t="s">
        <v>65</v>
      </c>
      <c r="C105" s="188">
        <f>'TSLA Balance Sheet'!E46</f>
        <v>0</v>
      </c>
      <c r="D105" s="188">
        <f>'TSLA Balance Sheet'!D46</f>
        <v>0</v>
      </c>
      <c r="E105" s="208">
        <f>'TSLA Balance Sheet'!C46</f>
        <v>0</v>
      </c>
      <c r="F105" s="146"/>
      <c r="G105" s="146"/>
      <c r="H105" s="146"/>
      <c r="I105" s="146"/>
    </row>
    <row r="106" spans="1:13">
      <c r="A106" s="17"/>
      <c r="B106" s="17" t="s">
        <v>66</v>
      </c>
      <c r="C106" s="188">
        <f>'TSLA Balance Sheet'!E47</f>
        <v>7773</v>
      </c>
      <c r="D106" s="188">
        <f>'TSLA Balance Sheet'!D47</f>
        <v>9178</v>
      </c>
      <c r="E106" s="208">
        <f>'TSLA Balance Sheet'!C47</f>
        <v>10250</v>
      </c>
      <c r="F106" s="146"/>
      <c r="G106" s="146"/>
      <c r="H106" s="146"/>
      <c r="I106" s="146"/>
    </row>
    <row r="107" spans="1:13">
      <c r="A107" s="17"/>
      <c r="B107" s="17" t="s">
        <v>67</v>
      </c>
      <c r="C107" s="188">
        <f>'TSLA Balance Sheet'!E48</f>
        <v>0</v>
      </c>
      <c r="D107" s="188">
        <f>'TSLA Balance Sheet'!D48</f>
        <v>0</v>
      </c>
      <c r="E107" s="208">
        <f>'TSLA Balance Sheet'!C48</f>
        <v>0</v>
      </c>
      <c r="F107" s="146"/>
      <c r="G107" s="146"/>
      <c r="H107" s="146"/>
      <c r="I107" s="146"/>
    </row>
    <row r="108" spans="1:13">
      <c r="A108" s="17"/>
      <c r="B108" s="17" t="s">
        <v>68</v>
      </c>
      <c r="C108" s="188">
        <f>'TSLA Balance Sheet'!E49</f>
        <v>0</v>
      </c>
      <c r="D108" s="188">
        <f>'TSLA Balance Sheet'!D49</f>
        <v>0</v>
      </c>
      <c r="E108" s="208">
        <f>'TSLA Balance Sheet'!C49</f>
        <v>0</v>
      </c>
      <c r="F108" s="146"/>
      <c r="G108" s="146"/>
      <c r="H108" s="146"/>
      <c r="I108" s="146"/>
    </row>
    <row r="109" spans="1:13">
      <c r="A109" s="17"/>
      <c r="B109" s="17" t="s">
        <v>69</v>
      </c>
      <c r="C109" s="188">
        <f>'TSLA Balance Sheet'!E50</f>
        <v>0</v>
      </c>
      <c r="D109" s="188">
        <f>'TSLA Balance Sheet'!D50</f>
        <v>0</v>
      </c>
      <c r="E109" s="208">
        <f>'TSLA Balance Sheet'!C50</f>
        <v>0</v>
      </c>
      <c r="F109" s="146"/>
      <c r="G109" s="146"/>
      <c r="H109" s="146"/>
      <c r="I109" s="146"/>
    </row>
    <row r="110" spans="1:13">
      <c r="A110" s="17"/>
      <c r="B110" s="17" t="s">
        <v>70</v>
      </c>
      <c r="C110" s="188">
        <f>'TSLA Balance Sheet'!E51</f>
        <v>0</v>
      </c>
      <c r="D110" s="188">
        <f>'TSLA Balance Sheet'!D51</f>
        <v>0</v>
      </c>
      <c r="E110" s="208">
        <f>'TSLA Balance Sheet'!C51</f>
        <v>0</v>
      </c>
      <c r="F110" s="146"/>
      <c r="G110" s="146"/>
      <c r="H110" s="146"/>
      <c r="I110" s="146"/>
    </row>
    <row r="111" spans="1:13">
      <c r="A111" s="17"/>
      <c r="B111" s="17" t="s">
        <v>71</v>
      </c>
      <c r="C111" s="188">
        <f>'TSLA Balance Sheet'!E52</f>
        <v>0</v>
      </c>
      <c r="D111" s="188">
        <f>'TSLA Balance Sheet'!D52</f>
        <v>0</v>
      </c>
      <c r="E111" s="208">
        <f>'TSLA Balance Sheet'!C52</f>
        <v>0</v>
      </c>
      <c r="F111" s="146"/>
      <c r="G111" s="146"/>
      <c r="H111" s="146"/>
      <c r="I111" s="146"/>
    </row>
    <row r="112" spans="1:13" ht="16.2">
      <c r="A112" s="17"/>
      <c r="B112" s="17" t="s">
        <v>72</v>
      </c>
      <c r="C112" s="188">
        <f>'TSLA Balance Sheet'!E53</f>
        <v>4753</v>
      </c>
      <c r="D112" s="188">
        <f>'TSLA Balance Sheet'!D53</f>
        <v>5234</v>
      </c>
      <c r="E112" s="208">
        <f>'TSLA Balance Sheet'!C53</f>
        <v>5757</v>
      </c>
      <c r="F112" s="10"/>
      <c r="G112" s="10"/>
      <c r="H112" s="10"/>
      <c r="I112" s="10"/>
    </row>
    <row r="113" spans="1:14" ht="15.6">
      <c r="A113" s="18" t="s">
        <v>73</v>
      </c>
      <c r="B113" s="17"/>
      <c r="C113" s="188">
        <f>'TSLA Balance Sheet'!E54</f>
        <v>22664</v>
      </c>
      <c r="D113" s="188">
        <f>'TSLA Balance Sheet'!D54</f>
        <v>28655</v>
      </c>
      <c r="E113" s="208">
        <f>'TSLA Balance Sheet'!C54</f>
        <v>29739</v>
      </c>
      <c r="F113" s="12"/>
      <c r="G113" s="12"/>
      <c r="H113" s="12"/>
      <c r="I113" s="12"/>
    </row>
    <row r="114" spans="1:14">
      <c r="A114" s="17"/>
      <c r="B114" s="17"/>
      <c r="C114" s="189"/>
      <c r="D114" s="189"/>
      <c r="E114" s="209"/>
      <c r="F114" s="17"/>
      <c r="G114" s="17"/>
      <c r="H114" s="17"/>
    </row>
    <row r="115" spans="1:14">
      <c r="A115" s="17"/>
      <c r="B115" s="17"/>
      <c r="C115" s="189"/>
      <c r="D115" s="189"/>
      <c r="E115" s="209"/>
      <c r="F115" s="17"/>
      <c r="G115" s="17"/>
      <c r="H115" s="17"/>
    </row>
    <row r="116" spans="1:14">
      <c r="A116" s="17"/>
      <c r="B116" s="17"/>
      <c r="C116" s="189"/>
      <c r="D116" s="189"/>
      <c r="E116" s="209"/>
      <c r="F116" s="17"/>
      <c r="G116" s="17"/>
      <c r="H116" s="17"/>
    </row>
    <row r="117" spans="1:14">
      <c r="A117" s="17"/>
      <c r="B117" s="17" t="s">
        <v>208</v>
      </c>
      <c r="C117" s="190">
        <f t="shared" ref="C117:M117" si="45">C77+C78+C79-C91-C93</f>
        <v>-2900</v>
      </c>
      <c r="D117" s="190">
        <f t="shared" si="45"/>
        <v>-4518</v>
      </c>
      <c r="E117" s="210">
        <f t="shared" si="45"/>
        <v>-3500</v>
      </c>
      <c r="F117" s="144">
        <f t="shared" si="45"/>
        <v>-2668.7999999999993</v>
      </c>
      <c r="G117" s="144">
        <f t="shared" si="45"/>
        <v>-3336</v>
      </c>
      <c r="H117" s="144">
        <f t="shared" si="45"/>
        <v>-4170</v>
      </c>
      <c r="I117" s="144">
        <f t="shared" si="45"/>
        <v>-4795.4999999999982</v>
      </c>
      <c r="J117" s="74">
        <f t="shared" si="45"/>
        <v>-5514.8249999999971</v>
      </c>
      <c r="K117" s="74">
        <f t="shared" si="45"/>
        <v>-5956.0109999999968</v>
      </c>
      <c r="L117" s="74">
        <f t="shared" si="45"/>
        <v>-6432.4918799999941</v>
      </c>
      <c r="M117" s="74">
        <f t="shared" si="45"/>
        <v>-6754.1164739999949</v>
      </c>
      <c r="N117" t="s">
        <v>209</v>
      </c>
    </row>
    <row r="118" spans="1:14">
      <c r="A118" s="17"/>
      <c r="B118" s="17" t="s">
        <v>210</v>
      </c>
      <c r="C118" s="190">
        <v>0</v>
      </c>
      <c r="D118" s="190">
        <f t="shared" ref="D118:J118" si="46">D117-C117</f>
        <v>-1618</v>
      </c>
      <c r="E118" s="210">
        <f t="shared" si="46"/>
        <v>1018</v>
      </c>
      <c r="F118" s="144">
        <f t="shared" si="46"/>
        <v>831.20000000000073</v>
      </c>
      <c r="G118" s="144">
        <f t="shared" si="46"/>
        <v>-667.20000000000073</v>
      </c>
      <c r="H118" s="144">
        <f t="shared" si="46"/>
        <v>-834</v>
      </c>
      <c r="I118" s="144">
        <f t="shared" si="46"/>
        <v>-625.49999999999818</v>
      </c>
      <c r="J118" s="74">
        <f t="shared" si="46"/>
        <v>-719.32499999999891</v>
      </c>
      <c r="K118" s="74">
        <f t="shared" ref="K118:M118" si="47">K117-J117</f>
        <v>-441.18599999999969</v>
      </c>
      <c r="L118" s="74">
        <f t="shared" si="47"/>
        <v>-476.48087999999734</v>
      </c>
      <c r="M118" s="74">
        <f t="shared" si="47"/>
        <v>-321.6245940000008</v>
      </c>
    </row>
    <row r="119" spans="1:14">
      <c r="A119" s="17"/>
      <c r="B119" s="17"/>
      <c r="C119" s="189"/>
      <c r="D119" s="189"/>
      <c r="E119" s="209"/>
      <c r="F119" s="17"/>
      <c r="G119" s="17"/>
      <c r="H119" s="17"/>
      <c r="I119" s="17"/>
    </row>
    <row r="120" spans="1:14">
      <c r="A120" s="17"/>
      <c r="B120" s="17" t="s">
        <v>263</v>
      </c>
      <c r="C120" s="191">
        <f>C80/C45</f>
        <v>0.89425550157187772</v>
      </c>
      <c r="D120" s="191">
        <f>D80/D45</f>
        <v>0.55863593843013859</v>
      </c>
      <c r="E120" s="211">
        <f>E80/E45</f>
        <v>0.38702763151763664</v>
      </c>
      <c r="F120" s="145">
        <v>0.32300000000000001</v>
      </c>
      <c r="G120" s="145">
        <v>0.32300000000000001</v>
      </c>
      <c r="H120" s="145">
        <v>0.32300000000000001</v>
      </c>
      <c r="I120" s="145">
        <v>0.32300000000000001</v>
      </c>
      <c r="J120" s="145">
        <v>0.32300000000000001</v>
      </c>
      <c r="K120" s="145">
        <v>0.32300000000000001</v>
      </c>
      <c r="L120" s="145">
        <v>0.32300000000000001</v>
      </c>
      <c r="M120" s="145">
        <v>0.32300000000000001</v>
      </c>
      <c r="N120" t="s">
        <v>295</v>
      </c>
    </row>
    <row r="121" spans="1:14">
      <c r="A121" s="17"/>
      <c r="B121" s="17" t="s">
        <v>299</v>
      </c>
      <c r="C121" s="191">
        <f>(C91+C93)/C45</f>
        <v>0.8088025150042869</v>
      </c>
      <c r="D121" s="191">
        <f>(D91+D93)/D45</f>
        <v>0.64325197720894634</v>
      </c>
      <c r="E121" s="191">
        <f>(E91+E93)/E45</f>
        <v>0.369414286379945</v>
      </c>
      <c r="F121" s="17"/>
      <c r="G121" s="17"/>
      <c r="H121" s="17"/>
      <c r="I121" s="17"/>
      <c r="J121" s="17"/>
    </row>
    <row r="122" spans="1:14">
      <c r="A122" s="17"/>
      <c r="B122" s="17" t="s">
        <v>289</v>
      </c>
      <c r="C122" s="219">
        <f>C51/C45</f>
        <v>0.1353243783938268</v>
      </c>
      <c r="D122" s="219">
        <f>D51/D45</f>
        <v>0.13912747682626073</v>
      </c>
      <c r="E122" s="219">
        <f>E51/E45</f>
        <v>8.8579283351195193E-2</v>
      </c>
      <c r="F122" s="145">
        <v>0.08</v>
      </c>
      <c r="G122" s="145">
        <v>0.08</v>
      </c>
      <c r="H122" s="145">
        <v>0.05</v>
      </c>
      <c r="I122" s="145">
        <v>0.04</v>
      </c>
      <c r="J122" s="145">
        <v>0.03</v>
      </c>
      <c r="K122" s="145">
        <v>0.03</v>
      </c>
      <c r="L122" s="145">
        <v>0.03</v>
      </c>
      <c r="M122" s="145">
        <v>0.03</v>
      </c>
    </row>
    <row r="123" spans="1:14">
      <c r="A123" s="17"/>
      <c r="B123" s="17" t="s">
        <v>298</v>
      </c>
      <c r="C123" s="191">
        <f>(C84-'TSLA Balance Sheet'!F18)/Forecasts!C45</f>
        <v>0.36853386681909117</v>
      </c>
      <c r="D123" s="191">
        <f>((D84)-(C84))/D45</f>
        <v>0.34399183604047961</v>
      </c>
      <c r="E123" s="191">
        <f>((E84)-(D84))/E45</f>
        <v>6.0714784958762404E-2</v>
      </c>
      <c r="F123" s="226">
        <v>0.2</v>
      </c>
      <c r="G123" s="226">
        <v>0.18</v>
      </c>
      <c r="H123" s="226">
        <v>0.18</v>
      </c>
      <c r="I123" s="226">
        <v>0.15</v>
      </c>
      <c r="J123" s="226">
        <v>0.12</v>
      </c>
      <c r="K123" s="226">
        <v>0.1</v>
      </c>
      <c r="L123" s="226">
        <v>0.08</v>
      </c>
      <c r="M123" s="226">
        <v>0.06</v>
      </c>
    </row>
    <row r="124" spans="1:14">
      <c r="B124" s="17"/>
    </row>
    <row r="128" spans="1:14">
      <c r="B128" s="7"/>
      <c r="D128" s="74"/>
      <c r="E128" s="74"/>
    </row>
    <row r="129" spans="2:5">
      <c r="B129" s="7"/>
      <c r="D129" s="74"/>
      <c r="E129" s="74"/>
    </row>
    <row r="130" spans="2:5">
      <c r="D130" s="74"/>
      <c r="E130" s="74"/>
    </row>
    <row r="132" spans="2:5">
      <c r="B132" s="7"/>
      <c r="D132" s="74"/>
      <c r="E132" s="7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zoomScale="70" zoomScaleNormal="70" workbookViewId="0">
      <pane ySplit="4" topLeftCell="A5" activePane="bottomLeft" state="frozen"/>
      <selection pane="bottomLeft" activeCell="H5" sqref="H5"/>
    </sheetView>
  </sheetViews>
  <sheetFormatPr defaultRowHeight="14.4"/>
  <cols>
    <col min="1" max="1" width="35.88671875" customWidth="1"/>
    <col min="2" max="2" width="15.33203125" hidden="1" customWidth="1"/>
    <col min="3" max="3" width="12.109375" bestFit="1" customWidth="1"/>
    <col min="4" max="4" width="11.6640625" customWidth="1"/>
    <col min="5" max="6" width="10.6640625" customWidth="1"/>
    <col min="8" max="8" width="41.6640625" customWidth="1"/>
  </cols>
  <sheetData>
    <row r="1" spans="1:8" ht="15.6">
      <c r="A1" s="238" t="str">
        <f>Cover!A1</f>
        <v>TESLA, INC.</v>
      </c>
      <c r="B1" s="238"/>
      <c r="C1" s="238"/>
      <c r="D1" s="238"/>
      <c r="E1" s="238"/>
      <c r="F1" s="248"/>
    </row>
    <row r="4" spans="1:8">
      <c r="B4" s="6" t="s">
        <v>316</v>
      </c>
      <c r="C4" s="59">
        <v>2018</v>
      </c>
      <c r="D4" s="59">
        <v>2017</v>
      </c>
      <c r="E4" s="59">
        <v>2016</v>
      </c>
      <c r="F4" s="59">
        <v>2015</v>
      </c>
      <c r="H4" t="s">
        <v>213</v>
      </c>
    </row>
    <row r="5" spans="1:8">
      <c r="A5" s="6" t="s">
        <v>285</v>
      </c>
      <c r="B5" s="6"/>
      <c r="C5" s="6"/>
      <c r="D5" s="6"/>
      <c r="E5" s="6"/>
      <c r="F5" s="6"/>
    </row>
    <row r="6" spans="1:8">
      <c r="A6" s="23" t="s">
        <v>93</v>
      </c>
      <c r="B6" s="23"/>
      <c r="C6" s="24">
        <f>('TSLA Income Statement'!B13-'TSLA Income Statement'!C13)/'TSLA Income Statement'!C13</f>
        <v>0.8250701590271281</v>
      </c>
      <c r="D6" s="24">
        <f>('TSLA Income Statement'!C13-'TSLA Income Statement'!D13)/'TSLA Income Statement'!D13</f>
        <v>0.68033723921120315</v>
      </c>
      <c r="E6" s="24">
        <f>('TSLA Income Statement'!D13-'TSLA Income Statement'!E13)/'TSLA Income Statement'!E13</f>
        <v>0.72960949085516558</v>
      </c>
      <c r="F6" s="24">
        <f>('TSLA Income Statement'!E13-'TSLA Income Statement'!F13)/'TSLA Income Statement'!F13</f>
        <v>0.26516572858036275</v>
      </c>
    </row>
    <row r="7" spans="1:8">
      <c r="A7" s="26" t="s">
        <v>94</v>
      </c>
      <c r="B7" s="26"/>
      <c r="C7" s="20">
        <f>'TSLA Income Statement'!B13-'TSLA Income Statement'!C13</f>
        <v>9702</v>
      </c>
      <c r="D7" s="20">
        <f>'TSLA Income Statement'!C13-'TSLA Income Statement'!D13</f>
        <v>4761</v>
      </c>
      <c r="E7" s="20">
        <f>'TSLA Income Statement'!D13-'TSLA Income Statement'!E13</f>
        <v>2952</v>
      </c>
      <c r="F7" s="20">
        <f>'TSLA Income Statement'!E13-'TSLA Income Statement'!F13</f>
        <v>848</v>
      </c>
    </row>
    <row r="8" spans="1:8">
      <c r="A8" s="2" t="s">
        <v>95</v>
      </c>
      <c r="B8" s="2"/>
      <c r="C8" s="24">
        <f>'TSLA Income Statement'!B21/'TSLA Income Statement'!B13</f>
        <v>0.18834164298028983</v>
      </c>
      <c r="D8" s="24">
        <f>'TSLA Income Statement'!C21/'TSLA Income Statement'!C13</f>
        <v>0.18913172888851093</v>
      </c>
      <c r="E8" s="24">
        <f>'TSLA Income Statement'!D21/'TSLA Income Statement'!D13</f>
        <v>0.2284938553872535</v>
      </c>
      <c r="F8" s="24">
        <f>'TSLA Income Statement'!E21/'TSLA Income Statement'!E13</f>
        <v>0.22837370242214533</v>
      </c>
      <c r="H8" t="s">
        <v>158</v>
      </c>
    </row>
    <row r="9" spans="1:8">
      <c r="A9" s="2" t="s">
        <v>96</v>
      </c>
      <c r="B9" s="2"/>
      <c r="C9" s="24">
        <f>'TSLA Income Statement'!B26/'TSLA Income Statement'!B13</f>
        <v>-1.8032710498112857E-2</v>
      </c>
      <c r="D9" s="24">
        <f>'TSLA Income Statement'!C26/'TSLA Income Statement'!C13</f>
        <v>-0.13861722935623777</v>
      </c>
      <c r="E9" s="24">
        <f>'TSLA Income Statement'!D26/'TSLA Income Statement'!D13</f>
        <v>-9.5312946556158906E-2</v>
      </c>
      <c r="F9" s="24">
        <f>'TSLA Income Statement'!E26/'TSLA Income Statement'!E13</f>
        <v>-0.17696490360850223</v>
      </c>
      <c r="H9" t="s">
        <v>97</v>
      </c>
    </row>
    <row r="10" spans="1:8">
      <c r="A10" s="2" t="s">
        <v>288</v>
      </c>
      <c r="B10" s="2"/>
      <c r="C10" s="24">
        <f>'TSLA Income Statement'!B40/'TSLA Income Statement'!B13</f>
        <v>-8.0378360747402261E-2</v>
      </c>
      <c r="D10" s="24">
        <f>'TSLA Income Statement'!C40/'TSLA Income Statement'!C13</f>
        <v>-0.23029169147036313</v>
      </c>
      <c r="E10" s="24">
        <f>'TSLA Income Statement'!D40/'TSLA Income Statement'!D13</f>
        <v>-0.13875392969419834</v>
      </c>
      <c r="F10" s="24">
        <f>'TSLA Income Statement'!E40/'TSLA Income Statement'!E13</f>
        <v>-0.26693030153237768</v>
      </c>
      <c r="H10" t="s">
        <v>159</v>
      </c>
    </row>
    <row r="11" spans="1:8">
      <c r="A11" s="2" t="s">
        <v>98</v>
      </c>
      <c r="B11" s="2"/>
      <c r="C11" s="20">
        <f>'TSLA Income Statement'!B15-'TSLA Income Statement'!C15</f>
        <v>7884</v>
      </c>
      <c r="D11" s="20">
        <f>'TSLA Income Statement'!C15-'TSLA Income Statement'!D15</f>
        <v>4136</v>
      </c>
      <c r="E11" s="20">
        <f>'TSLA Income Statement'!D15-'TSLA Income Statement'!E15</f>
        <v>2277</v>
      </c>
      <c r="F11" s="20">
        <f>'TSLA Income Statement'!E15-'TSLA Income Statement'!F15</f>
        <v>807</v>
      </c>
    </row>
    <row r="12" spans="1:8">
      <c r="A12" s="2" t="s">
        <v>99</v>
      </c>
      <c r="B12" s="2"/>
      <c r="C12" s="25">
        <f>('TSLA Income Statement'!B15-'TSLA Income Statement'!C15)/'TSLA Income Statement'!C15</f>
        <v>0.82684845306764554</v>
      </c>
      <c r="D12" s="25">
        <f>('TSLA Income Statement'!C15-'TSLA Income Statement'!D15)/'TSLA Income Statement'!D15</f>
        <v>0.76606779033154293</v>
      </c>
      <c r="E12" s="25">
        <f>('TSLA Income Statement'!D15-'TSLA Income Statement'!E15)/'TSLA Income Statement'!E15</f>
        <v>0.72934016655989753</v>
      </c>
      <c r="F12" s="25">
        <f>('TSLA Income Statement'!E15-'TSLA Income Statement'!F15)/'TSLA Income Statement'!F15</f>
        <v>0.34859611231101512</v>
      </c>
    </row>
    <row r="13" spans="1:8">
      <c r="A13" t="s">
        <v>100</v>
      </c>
      <c r="C13" s="35">
        <f>'TSLA Income Statement'!B69</f>
        <v>0.81165835701971012</v>
      </c>
      <c r="D13" s="35">
        <f>'TSLA Income Statement'!C69</f>
        <v>0.81086827111148907</v>
      </c>
      <c r="E13" s="35">
        <f>'TSLA Income Statement'!D69</f>
        <v>0.77150614461274647</v>
      </c>
      <c r="F13" s="35">
        <f>'TSLA Income Statement'!E69</f>
        <v>0.77162629757785473</v>
      </c>
    </row>
    <row r="14" spans="1:8">
      <c r="A14" t="s">
        <v>101</v>
      </c>
      <c r="C14" s="35">
        <f>'TSLA Income Statement'!B78</f>
        <v>0.13205349238152927</v>
      </c>
      <c r="D14" s="35">
        <f>'TSLA Income Statement'!C78</f>
        <v>0.2105621226294753</v>
      </c>
      <c r="E14" s="35">
        <f>'TSLA Income Statement'!D78</f>
        <v>0.20462989425550157</v>
      </c>
      <c r="F14" s="35">
        <f>'TSLA Income Statement'!E78</f>
        <v>0.22787938704893723</v>
      </c>
    </row>
    <row r="15" spans="1:8">
      <c r="C15" s="35"/>
      <c r="D15" s="35"/>
      <c r="E15" s="35"/>
      <c r="F15" s="35"/>
    </row>
    <row r="16" spans="1:8">
      <c r="A16" s="3" t="s">
        <v>136</v>
      </c>
      <c r="B16" s="128"/>
      <c r="C16" s="42"/>
      <c r="D16" s="42"/>
      <c r="E16" s="42"/>
      <c r="F16" s="42"/>
    </row>
    <row r="17" spans="1:8">
      <c r="A17" s="2" t="s">
        <v>137</v>
      </c>
      <c r="B17" s="2"/>
      <c r="C17" s="43">
        <f>'TSLA Income Statement'!B13/(0.5*('TSLA Balance Sheet'!C24+'TSLA Balance Sheet'!D24))</f>
        <v>0.73504127136349628</v>
      </c>
      <c r="D17" s="43">
        <f>'TSLA Income Statement'!C13/(0.5*('TSLA Balance Sheet'!D24+'TSLA Balance Sheet'!E24))</f>
        <v>0.45827081587716051</v>
      </c>
      <c r="E17" s="43">
        <f>'TSLA Income Statement'!D13/(0.5*('TSLA Balance Sheet'!E24+'TSLA Balance Sheet'!F24))</f>
        <v>0.45543587907975658</v>
      </c>
      <c r="F17" s="43">
        <f>'TSLA Income Statement'!E13/(0.5*('TSLA Balance Sheet'!F24+'TSLA Balance Sheet'!G24))</f>
        <v>1.0030990454939879</v>
      </c>
      <c r="H17" s="2" t="s">
        <v>138</v>
      </c>
    </row>
    <row r="18" spans="1:8" ht="40.200000000000003">
      <c r="A18" s="2" t="s">
        <v>148</v>
      </c>
      <c r="B18" s="2"/>
      <c r="C18" s="48">
        <f>'TSLA Income Statement'!B47/'TSLA Income Statement'!B13</f>
        <v>-4.6782535762546013E-2</v>
      </c>
      <c r="D18" s="48">
        <f>'TSLA Income Statement'!C47/'TSLA Income Statement'!C13</f>
        <v>-0.18760098647844203</v>
      </c>
      <c r="E18" s="48">
        <f>'TSLA Income Statement'!D47/'TSLA Income Statement'!D13</f>
        <v>-0.10660188625321521</v>
      </c>
      <c r="F18" s="48">
        <f>'TSLA Income Statement'!E47/'TSLA Income Statement'!E13</f>
        <v>-0.23430548690064262</v>
      </c>
      <c r="H18" s="26" t="s">
        <v>392</v>
      </c>
    </row>
    <row r="19" spans="1:8" ht="28.8">
      <c r="A19" s="2" t="s">
        <v>152</v>
      </c>
      <c r="B19" s="2"/>
      <c r="C19" s="49">
        <f>(0.5*('TSLA Balance Sheet'!C24+'TSLA Balance Sheet'!D24))/(0.5*('TSLA Balance Sheet'!C53+'TSLA Balance Sheet'!D53))</f>
        <v>5.312892366481667</v>
      </c>
      <c r="D19" s="49">
        <f>(0.5*('TSLA Balance Sheet'!D24+'TSLA Balance Sheet'!E24))/(0.5*('TSLA Balance Sheet'!D53+'TSLA Balance Sheet'!E53))</f>
        <v>5.1385801542004605</v>
      </c>
      <c r="E19" s="49">
        <f>(0.5*('TSLA Balance Sheet'!E24+'TSLA Balance Sheet'!F24))/(0.5*('TSLA Balance Sheet'!E53+'TSLA Balance Sheet'!F53))</f>
        <v>5.2657642220699108</v>
      </c>
      <c r="F19" s="49">
        <f>(0.5*('TSLA Balance Sheet'!F24+'TSLA Balance Sheet'!G24))/(0.5*('TSLA Balance Sheet'!F53+'TSLA Balance Sheet'!G53))</f>
        <v>7.4487534626038778</v>
      </c>
      <c r="H19" s="26" t="s">
        <v>151</v>
      </c>
    </row>
    <row r="20" spans="1:8" ht="27">
      <c r="A20" s="2" t="s">
        <v>149</v>
      </c>
      <c r="B20" s="2"/>
      <c r="C20" s="44">
        <f>C18*C17</f>
        <v>-3.438709456451005E-2</v>
      </c>
      <c r="D20" s="44">
        <f>D18*D17</f>
        <v>-8.5972057132835789E-2</v>
      </c>
      <c r="E20" s="44">
        <f>E18*E17</f>
        <v>-4.8550323777293285E-2</v>
      </c>
      <c r="F20" s="44">
        <f>F18*F17</f>
        <v>-0.23503161026403868</v>
      </c>
      <c r="H20" s="26" t="s">
        <v>391</v>
      </c>
    </row>
    <row r="21" spans="1:8">
      <c r="A21" s="2" t="s">
        <v>150</v>
      </c>
      <c r="B21" s="2"/>
      <c r="C21" s="44">
        <f>C17*C18*C19</f>
        <v>-0.18269493221726865</v>
      </c>
      <c r="D21" s="44">
        <f>D17*D18*D19</f>
        <v>-0.44177430659857814</v>
      </c>
      <c r="E21" s="44">
        <f>E17*E18*E19</f>
        <v>-0.25565455791638109</v>
      </c>
      <c r="F21" s="44">
        <f>F17*F18*F19</f>
        <v>-1.7506925207756232</v>
      </c>
      <c r="H21" s="26"/>
    </row>
    <row r="22" spans="1:8" ht="28.8">
      <c r="A22" s="2" t="s">
        <v>139</v>
      </c>
      <c r="B22" s="2"/>
      <c r="C22" s="44"/>
      <c r="D22" s="44"/>
      <c r="E22" s="44"/>
      <c r="F22" s="44"/>
      <c r="H22" s="30" t="s">
        <v>140</v>
      </c>
    </row>
    <row r="23" spans="1:8" ht="28.8">
      <c r="A23" s="2" t="s">
        <v>141</v>
      </c>
      <c r="B23" s="2"/>
      <c r="C23" s="44"/>
      <c r="D23" s="44"/>
      <c r="E23" s="44"/>
      <c r="F23" s="44"/>
      <c r="H23" s="30" t="s">
        <v>142</v>
      </c>
    </row>
    <row r="24" spans="1:8">
      <c r="A24" s="41" t="s">
        <v>157</v>
      </c>
      <c r="B24" s="41"/>
      <c r="C24" s="50">
        <f>'TSLA Income Statement'!B57</f>
        <v>-5.72</v>
      </c>
      <c r="D24" s="50">
        <f>'TSLA Income Statement'!C57</f>
        <v>-11.83</v>
      </c>
      <c r="E24" s="50">
        <f>'TSLA Income Statement'!D57</f>
        <v>-4.68</v>
      </c>
      <c r="F24" s="50">
        <f>'TSLA Income Statement'!E57</f>
        <v>0</v>
      </c>
      <c r="H24" s="30"/>
    </row>
    <row r="25" spans="1:8">
      <c r="H25" s="249"/>
    </row>
    <row r="26" spans="1:8">
      <c r="A26" s="6" t="s">
        <v>161</v>
      </c>
      <c r="B26" s="6"/>
      <c r="H26" s="249"/>
    </row>
    <row r="27" spans="1:8">
      <c r="A27" t="s">
        <v>102</v>
      </c>
      <c r="C27" s="29">
        <f>'TSLA Balance Sheet'!C9/('TSLA Income Statement'!B13/365)</f>
        <v>62.689995806346396</v>
      </c>
      <c r="D27" s="29">
        <f>'TSLA Balance Sheet'!D9/('TSLA Income Statement'!C13/365)</f>
        <v>104.54290330810444</v>
      </c>
      <c r="E27" s="29">
        <f>'TSLA Balance Sheet'!E9/('TSLA Income Statement'!D13/365)</f>
        <v>176.97127750785938</v>
      </c>
      <c r="F27" s="29">
        <f>'TSLA Balance Sheet'!F9/('TSLA Income Statement'!E13/365)</f>
        <v>107.98442906574394</v>
      </c>
      <c r="H27" s="250" t="s">
        <v>132</v>
      </c>
    </row>
    <row r="28" spans="1:8">
      <c r="A28" t="s">
        <v>103</v>
      </c>
      <c r="C28" s="27">
        <f>(0.5*('TSLA Balance Sheet'!C11+'TSLA Balance Sheet'!D11))/('TSLA Income Statement'!B13/365)</f>
        <v>12.449559666371558</v>
      </c>
      <c r="D28" s="27">
        <f>365/('TSLA Income Statement'!C13/(0.5*('TSLA Balance Sheet'!D11+'TSLA Balance Sheet'!E11)))</f>
        <v>15.73730759418318</v>
      </c>
      <c r="E28" s="27">
        <f>365/('TSLA Income Statement'!D13/(0.5*('TSLA Balance Sheet'!E11+'TSLA Balance Sheet'!F11)))</f>
        <v>17.420691626178908</v>
      </c>
      <c r="F28" s="27">
        <f>365/('TSLA Income Statement'!E13/(0.5*('TSLA Balance Sheet'!F11+'TSLA Balance Sheet'!G11)))</f>
        <v>7.6229609490855159</v>
      </c>
      <c r="H28" s="251" t="s">
        <v>133</v>
      </c>
    </row>
    <row r="29" spans="1:8">
      <c r="A29" t="s">
        <v>104</v>
      </c>
      <c r="C29" s="27">
        <f>365/('TSLA Income Statement'!B15/(0.5*('TSLA Balance Sheet'!C12+'TSLA Balance Sheet'!D12)))</f>
        <v>56.324702910614846</v>
      </c>
      <c r="D29" s="27">
        <f>365/('TSLA Income Statement'!C15/(0.5*('TSLA Balance Sheet'!D12+'TSLA Balance Sheet'!E12)))</f>
        <v>82.876245411641321</v>
      </c>
      <c r="E29" s="27">
        <f>365/('TSLA Income Statement'!D15/(0.5*('TSLA Balance Sheet'!E12+'TSLA Balance Sheet'!F12)))</f>
        <v>113.06954991665124</v>
      </c>
      <c r="F29" s="27">
        <f>365/('TSLA Income Statement'!E15/(0.5*('TSLA Balance Sheet'!F12+'TSLA Balance Sheet'!G12)))</f>
        <v>74.706918641896223</v>
      </c>
      <c r="H29" s="38" t="s">
        <v>134</v>
      </c>
    </row>
    <row r="30" spans="1:8" ht="27">
      <c r="A30" s="28" t="s">
        <v>131</v>
      </c>
      <c r="B30" s="28"/>
      <c r="C30" s="36"/>
      <c r="D30" s="27"/>
      <c r="E30" s="27"/>
      <c r="F30" s="27"/>
      <c r="H30" s="26" t="s">
        <v>393</v>
      </c>
    </row>
    <row r="32" spans="1:8">
      <c r="A32" s="3" t="s">
        <v>122</v>
      </c>
      <c r="B32" s="128"/>
      <c r="H32" s="2"/>
    </row>
    <row r="33" spans="1:8" ht="28.8">
      <c r="A33" s="2" t="s">
        <v>123</v>
      </c>
      <c r="B33" s="2"/>
      <c r="C33" s="29">
        <f>'TSLA Balance Sheet'!C41/'TSLA Balance Sheet'!C24</f>
        <v>0.80463364605400312</v>
      </c>
      <c r="D33" s="29">
        <f>'TSLA Balance Sheet'!D41/'TSLA Balance Sheet'!D24</f>
        <v>0.82735997208166112</v>
      </c>
      <c r="E33" s="29">
        <f>'TSLA Balance Sheet'!E41/'TSLA Balance Sheet'!E24</f>
        <v>0.73896929050476523</v>
      </c>
      <c r="F33" s="29">
        <f>'TSLA Balance Sheet'!F41/'TSLA Balance Sheet'!F24</f>
        <v>0.85979918185198956</v>
      </c>
      <c r="H33" s="30" t="s">
        <v>124</v>
      </c>
    </row>
    <row r="34" spans="1:8">
      <c r="A34" s="2" t="s">
        <v>125</v>
      </c>
      <c r="B34" s="2"/>
      <c r="C34" s="29">
        <f>'TSLA Balance Sheet'!C40/('TSLA Balance Sheet'!C40+'TSLA Balance Sheet'!C53)</f>
        <v>0.7</v>
      </c>
      <c r="D34" s="29">
        <f>'TSLA Balance Sheet'!D40/('TSLA Balance Sheet'!D40+'TSLA Balance Sheet'!D53)</f>
        <v>0.74568777027355326</v>
      </c>
      <c r="E34" s="29">
        <f>'TSLA Balance Sheet'!E40/('TSLA Balance Sheet'!E40+'TSLA Balance Sheet'!E53)</f>
        <v>0.69677830940988839</v>
      </c>
      <c r="F34" s="29">
        <f>'TSLA Balance Sheet'!F40/('TSLA Balance Sheet'!F40+'TSLA Balance Sheet'!F53)</f>
        <v>0.79205069124423966</v>
      </c>
      <c r="H34" s="30" t="s">
        <v>126</v>
      </c>
    </row>
    <row r="35" spans="1:8">
      <c r="A35" s="26" t="s">
        <v>127</v>
      </c>
      <c r="B35" s="26"/>
      <c r="C35" s="29">
        <f>'TSLA Income Statement'!B33/'TSLA Income Statement'!B35</f>
        <v>-1.5143288084464555</v>
      </c>
      <c r="D35" s="29">
        <f>'TSLA Income Statement'!C33/'TSLA Income Statement'!C35</f>
        <v>-4.6836518046709132</v>
      </c>
      <c r="E35" s="29">
        <f>'TSLA Income Statement'!D33/'TSLA Income Statement'!D35</f>
        <v>-3.7487437185929648</v>
      </c>
      <c r="F35" s="29">
        <f>'TSLA Income Statement'!E33/'TSLA Income Statement'!E35</f>
        <v>-7.9663865546218489</v>
      </c>
      <c r="H35" s="26" t="s">
        <v>153</v>
      </c>
    </row>
    <row r="36" spans="1:8" ht="28.8">
      <c r="A36" s="2" t="s">
        <v>128</v>
      </c>
      <c r="B36" s="2"/>
      <c r="C36" s="29">
        <f>'TSLA Balance Sheet'!C40/'TSLA Cash Flow'!J29</f>
        <v>6.2276309689383407</v>
      </c>
      <c r="D36" s="29">
        <f>'TSLA Balance Sheet'!D40/'TSLA Cash Flow'!K29</f>
        <v>-613.88</v>
      </c>
      <c r="E36" s="29">
        <f>'TSLA Balance Sheet'!E40/'TSLA Cash Flow'!L29</f>
        <v>-112.5979381443299</v>
      </c>
      <c r="F36" s="29" t="e">
        <f>'TSLA Balance Sheet'!F40/'TSLA Cash Flow'!M29</f>
        <v>#DIV/0!</v>
      </c>
      <c r="H36" s="2"/>
    </row>
    <row r="38" spans="1:8">
      <c r="A38" s="6" t="s">
        <v>105</v>
      </c>
      <c r="B38" s="6"/>
    </row>
    <row r="39" spans="1:8">
      <c r="A39" t="s">
        <v>106</v>
      </c>
      <c r="C39" s="39">
        <f>'TSLA Income Statement'!B38/'TSLA Income Statement'!B36</f>
        <v>-3.4793041391721659E-2</v>
      </c>
      <c r="D39" s="39">
        <f>'TSLA Income Statement'!C38/'TSLA Income Statement'!C36</f>
        <v>-1.1580127007844603E-2</v>
      </c>
      <c r="E39" s="39">
        <f>'TSLA Income Statement'!D38/'TSLA Income Statement'!D36</f>
        <v>-2.7513227513227514E-2</v>
      </c>
      <c r="F39" s="39">
        <f>'TSLA Income Statement'!E38/'TSLA Income Statement'!E36</f>
        <v>-1.2183692596063731E-2</v>
      </c>
    </row>
    <row r="40" spans="1:8">
      <c r="A40" t="s">
        <v>107</v>
      </c>
      <c r="C40" s="40">
        <f>'TSLA Income Statement'!B53/'TSLA Income Statement'!B40</f>
        <v>0</v>
      </c>
      <c r="D40" s="40">
        <f>'TSLA Income Statement'!C53/'TSLA Income Statement'!C40</f>
        <v>0</v>
      </c>
      <c r="E40" s="40">
        <f>'TSLA Income Statement'!D53/'TSLA Income Statement'!D40</f>
        <v>0</v>
      </c>
      <c r="F40" s="40">
        <f>'TSLA Income Statement'!E53/'TSLA Income Statement'!E40</f>
        <v>0</v>
      </c>
    </row>
    <row r="41" spans="1:8">
      <c r="C41" s="40"/>
      <c r="D41" s="40"/>
      <c r="E41" s="40"/>
      <c r="F41" s="40"/>
    </row>
    <row r="42" spans="1:8">
      <c r="A42" s="3" t="s">
        <v>108</v>
      </c>
      <c r="B42" s="128"/>
      <c r="H42" s="2"/>
    </row>
    <row r="43" spans="1:8">
      <c r="A43" s="26" t="s">
        <v>36</v>
      </c>
      <c r="B43" s="26"/>
      <c r="C43" s="20">
        <f>'TSLA Balance Sheet'!C14</f>
        <v>8306</v>
      </c>
      <c r="D43" s="20">
        <f>'TSLA Balance Sheet'!D14</f>
        <v>6569</v>
      </c>
      <c r="E43" s="20">
        <f>'TSLA Balance Sheet'!E14</f>
        <v>6258</v>
      </c>
      <c r="F43" s="20">
        <f>'TSLA Balance Sheet'!F14</f>
        <v>2783</v>
      </c>
      <c r="H43" s="2"/>
    </row>
    <row r="44" spans="1:8">
      <c r="A44" s="26" t="s">
        <v>50</v>
      </c>
      <c r="B44" s="26"/>
      <c r="C44" s="20">
        <f>'TSLA Balance Sheet'!C24</f>
        <v>29739</v>
      </c>
      <c r="D44" s="20">
        <f>'TSLA Balance Sheet'!D24</f>
        <v>28655</v>
      </c>
      <c r="E44" s="20">
        <f>'TSLA Balance Sheet'!E24</f>
        <v>22664</v>
      </c>
      <c r="F44" s="20">
        <f>'TSLA Balance Sheet'!F24</f>
        <v>8067</v>
      </c>
      <c r="H44" s="2"/>
    </row>
    <row r="45" spans="1:8">
      <c r="A45" s="26" t="s">
        <v>109</v>
      </c>
      <c r="B45" s="26"/>
      <c r="C45" s="24">
        <f>C43/C44</f>
        <v>0.27929654662228048</v>
      </c>
      <c r="D45" s="24">
        <f>D43/D44</f>
        <v>0.22924445995463269</v>
      </c>
      <c r="E45" s="24">
        <f>E43/E44</f>
        <v>0.27612072008471583</v>
      </c>
      <c r="F45" s="24">
        <f>F43/F44</f>
        <v>0.34498574439072766</v>
      </c>
      <c r="H45" s="2"/>
    </row>
    <row r="46" spans="1:8">
      <c r="A46" s="26"/>
      <c r="B46" s="26"/>
      <c r="H46" s="2"/>
    </row>
    <row r="47" spans="1:8">
      <c r="A47" s="3" t="s">
        <v>160</v>
      </c>
      <c r="B47" s="128"/>
      <c r="H47" s="2"/>
    </row>
    <row r="48" spans="1:8">
      <c r="A48" s="26" t="s">
        <v>110</v>
      </c>
      <c r="B48" s="26"/>
      <c r="C48" s="24">
        <f>'TSLA Balance Sheet'!C9/'TSLA Balance Sheet'!C14</f>
        <v>0.44377558391524197</v>
      </c>
      <c r="D48" s="24">
        <f>'TSLA Balance Sheet'!D9/'TSLA Balance Sheet'!D14</f>
        <v>0.51271121936367792</v>
      </c>
      <c r="E48" s="24">
        <f>'TSLA Balance Sheet'!E9/'TSLA Balance Sheet'!E14</f>
        <v>0.54218600191754551</v>
      </c>
      <c r="F48" s="24">
        <f>'TSLA Balance Sheet'!F9/'TSLA Balance Sheet'!F14</f>
        <v>0.43011139058569886</v>
      </c>
      <c r="H48" s="2"/>
    </row>
    <row r="49" spans="1:8">
      <c r="A49" s="26" t="s">
        <v>111</v>
      </c>
      <c r="B49" s="26"/>
      <c r="C49" s="24">
        <f>'TSLA Balance Sheet'!C11/'TSLA Balance Sheet'!C14</f>
        <v>0.11425475559836262</v>
      </c>
      <c r="D49" s="24">
        <f>'TSLA Balance Sheet'!D11/'TSLA Balance Sheet'!D14</f>
        <v>7.8398538590348607E-2</v>
      </c>
      <c r="E49" s="24">
        <f>'TSLA Balance Sheet'!E11/'TSLA Balance Sheet'!E14</f>
        <v>7.9737935442633426E-2</v>
      </c>
      <c r="F49" s="24">
        <f>'TSLA Balance Sheet'!F11/'TSLA Balance Sheet'!F14</f>
        <v>6.0725835429392742E-2</v>
      </c>
      <c r="H49" s="2"/>
    </row>
    <row r="50" spans="1:8">
      <c r="A50" s="26" t="s">
        <v>112</v>
      </c>
      <c r="B50" s="26"/>
      <c r="C50" s="24">
        <f>'TSLA Balance Sheet'!C12/'TSLA Balance Sheet'!C14</f>
        <v>0.3747893089333012</v>
      </c>
      <c r="D50" s="24">
        <f>'TSLA Balance Sheet'!D12/'TSLA Balance Sheet'!D14</f>
        <v>0.3444968792814736</v>
      </c>
      <c r="E50" s="24">
        <f>'TSLA Balance Sheet'!E12/'TSLA Balance Sheet'!E14</f>
        <v>0.33029721955896452</v>
      </c>
      <c r="F50" s="24">
        <f>'TSLA Balance Sheet'!F12/'TSLA Balance Sheet'!F14</f>
        <v>0.45921667265540783</v>
      </c>
      <c r="H50" s="2"/>
    </row>
    <row r="51" spans="1:8">
      <c r="A51" s="26" t="s">
        <v>113</v>
      </c>
      <c r="B51" s="26"/>
      <c r="C51" s="19">
        <f>'TSLA Balance Sheet'!C12-'TSLA Balance Sheet'!D12</f>
        <v>850</v>
      </c>
      <c r="D51" s="19">
        <f>'TSLA Balance Sheet'!D12-'TSLA Balance Sheet'!E12</f>
        <v>196</v>
      </c>
      <c r="E51" s="19">
        <f>'TSLA Balance Sheet'!E12-'TSLA Balance Sheet'!F12</f>
        <v>789</v>
      </c>
      <c r="F51" s="19">
        <f>'TSLA Balance Sheet'!F12-'TSLA Balance Sheet'!G12</f>
        <v>1278</v>
      </c>
      <c r="H51" s="2"/>
    </row>
    <row r="52" spans="1:8">
      <c r="A52" s="26" t="s">
        <v>114</v>
      </c>
      <c r="B52" s="26"/>
      <c r="C52" s="24">
        <f>C51/'TSLA Balance Sheet'!D12</f>
        <v>0.37560760053026954</v>
      </c>
      <c r="D52" s="24">
        <f>D51/'TSLA Balance Sheet'!E12</f>
        <v>9.4823415578132564E-2</v>
      </c>
      <c r="E52" s="24">
        <f>E51/'TSLA Balance Sheet'!F12</f>
        <v>0.61737089201877937</v>
      </c>
      <c r="F52" s="24" t="e">
        <f>F51/'TSLA Balance Sheet'!G12</f>
        <v>#DIV/0!</v>
      </c>
      <c r="H52" s="2"/>
    </row>
    <row r="53" spans="1:8">
      <c r="A53" s="2"/>
      <c r="B53" s="2"/>
      <c r="H53" s="2"/>
    </row>
    <row r="54" spans="1:8">
      <c r="A54" s="3" t="s">
        <v>115</v>
      </c>
      <c r="B54" s="128"/>
      <c r="H54" s="2"/>
    </row>
    <row r="55" spans="1:8">
      <c r="A55" s="2" t="s">
        <v>116</v>
      </c>
      <c r="B55" s="2"/>
      <c r="C55" s="29">
        <f>'TSLA Balance Sheet'!C14/'TSLA Balance Sheet'!C34</f>
        <v>0.79134908536585369</v>
      </c>
      <c r="D55" s="29">
        <f>'TSLA Balance Sheet'!D14/'TSLA Balance Sheet'!D34</f>
        <v>0.78567157038631741</v>
      </c>
      <c r="E55" s="29">
        <f>'TSLA Balance Sheet'!E14/'TSLA Balance Sheet'!E34</f>
        <v>1.0741503604531411</v>
      </c>
      <c r="F55" s="29">
        <f>'TSLA Balance Sheet'!F14/'TSLA Balance Sheet'!F34</f>
        <v>0.99003913198150129</v>
      </c>
      <c r="H55" s="2" t="s">
        <v>117</v>
      </c>
    </row>
    <row r="56" spans="1:8" ht="27">
      <c r="A56" s="26" t="s">
        <v>118</v>
      </c>
      <c r="B56" s="26"/>
      <c r="C56" s="29">
        <f>('TSLA Balance Sheet'!C9+'TSLA Balance Sheet'!C10+'TSLA Balance Sheet'!C11)/'TSLA Balance Sheet'!C34</f>
        <v>0.45988948170731708</v>
      </c>
      <c r="D56" s="29">
        <f>('TSLA Balance Sheet'!D9+'TSLA Balance Sheet'!D10+'TSLA Balance Sheet'!D11)/'TSLA Balance Sheet'!D34</f>
        <v>0.48295658414065301</v>
      </c>
      <c r="E56" s="29">
        <f>('TSLA Balance Sheet'!E9+'TSLA Balance Sheet'!E10+'TSLA Balance Sheet'!E11)/'TSLA Balance Sheet'!E34</f>
        <v>0.6860624785444559</v>
      </c>
      <c r="F56" s="29">
        <f>('TSLA Balance Sheet'!F9+'TSLA Balance Sheet'!F10+'TSLA Balance Sheet'!F11)/'TSLA Balance Sheet'!F34</f>
        <v>0.49413020277481323</v>
      </c>
      <c r="H56" s="26" t="s">
        <v>119</v>
      </c>
    </row>
    <row r="57" spans="1:8" ht="28.8">
      <c r="A57" s="2" t="s">
        <v>120</v>
      </c>
      <c r="B57" s="2"/>
      <c r="C57" s="29">
        <f>'TSLA Cash Flow'!J29/(0.5*('TSLA Balance Sheet'!C34+'TSLA Balance Sheet'!D34))</f>
        <v>0.22877446041257887</v>
      </c>
      <c r="D57" s="29">
        <f>'TSLA Cash Flow'!K29/(0.5*('TSLA Balance Sheet'!D34+'TSLA Balance Sheet'!E34))</f>
        <v>-3.5243532811729049E-3</v>
      </c>
      <c r="E57" s="29">
        <f>'TSLA Cash Flow'!L29/(0.5*('TSLA Balance Sheet'!E34+'TSLA Balance Sheet'!F34))</f>
        <v>-2.246150283663309E-2</v>
      </c>
      <c r="F57" s="29">
        <f>'TSLA Cash Flow'!M29/(0.5*('TSLA Balance Sheet'!F34+'TSLA Balance Sheet'!G34))</f>
        <v>0</v>
      </c>
      <c r="H57" s="2" t="s">
        <v>121</v>
      </c>
    </row>
    <row r="58" spans="1:8">
      <c r="A58" s="2"/>
      <c r="B58" s="2"/>
      <c r="H58" s="2"/>
    </row>
    <row r="59" spans="1:8">
      <c r="A59" s="3" t="s">
        <v>143</v>
      </c>
      <c r="B59" s="128"/>
      <c r="C59" s="45"/>
      <c r="D59" s="45"/>
      <c r="E59" s="45"/>
      <c r="F59" s="45"/>
      <c r="H59" s="2"/>
    </row>
    <row r="60" spans="1:8">
      <c r="A60" s="26" t="s">
        <v>144</v>
      </c>
      <c r="B60" s="26"/>
      <c r="C60" s="46"/>
      <c r="D60" s="46"/>
      <c r="E60" s="46"/>
      <c r="F60" s="46"/>
      <c r="H60" s="2"/>
    </row>
    <row r="61" spans="1:8">
      <c r="A61" s="26" t="s">
        <v>145</v>
      </c>
      <c r="B61" s="26"/>
      <c r="C61" s="47"/>
      <c r="D61" s="47"/>
      <c r="E61" s="47"/>
      <c r="F61" s="47"/>
      <c r="H61" s="2"/>
    </row>
    <row r="62" spans="1:8">
      <c r="A62" s="26" t="s">
        <v>146</v>
      </c>
      <c r="B62" s="26"/>
      <c r="C62" s="47"/>
      <c r="D62" s="47"/>
      <c r="E62" s="47"/>
      <c r="F62" s="47"/>
      <c r="H62" s="2"/>
    </row>
    <row r="63" spans="1:8" ht="27">
      <c r="A63" s="26" t="s">
        <v>147</v>
      </c>
      <c r="B63" s="26"/>
      <c r="C63" s="47"/>
      <c r="D63" s="47"/>
      <c r="E63" s="47"/>
      <c r="F63" s="47"/>
      <c r="H63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13"/>
  <sheetViews>
    <sheetView zoomScale="80" zoomScaleNormal="80" workbookViewId="0">
      <selection activeCell="B6" sqref="B6"/>
    </sheetView>
  </sheetViews>
  <sheetFormatPr defaultRowHeight="14.4"/>
  <cols>
    <col min="1" max="1" width="2.6640625" customWidth="1"/>
    <col min="2" max="2" width="18.33203125" customWidth="1"/>
    <col min="3" max="3" width="42" customWidth="1"/>
    <col min="4" max="4" width="7.88671875" bestFit="1" customWidth="1"/>
    <col min="5" max="7" width="12.33203125" customWidth="1"/>
    <col min="8" max="8" width="8.109375" bestFit="1" customWidth="1"/>
    <col min="9" max="9" width="8.44140625" bestFit="1" customWidth="1"/>
    <col min="10" max="10" width="6" bestFit="1" customWidth="1"/>
    <col min="11" max="11" width="8" style="6" customWidth="1"/>
    <col min="12" max="12" width="9.44140625" bestFit="1" customWidth="1"/>
    <col min="13" max="13" width="11.6640625" customWidth="1"/>
  </cols>
  <sheetData>
    <row r="1" spans="2:13" ht="15" thickBot="1"/>
    <row r="2" spans="2:13">
      <c r="B2" s="235" t="s">
        <v>377</v>
      </c>
      <c r="C2" s="231" t="s">
        <v>384</v>
      </c>
      <c r="D2" s="231" t="s">
        <v>221</v>
      </c>
      <c r="E2" s="231" t="s">
        <v>222</v>
      </c>
      <c r="F2" s="231" t="s">
        <v>382</v>
      </c>
      <c r="G2" s="231" t="s">
        <v>383</v>
      </c>
      <c r="H2" s="231" t="s">
        <v>223</v>
      </c>
      <c r="I2" s="231" t="s">
        <v>224</v>
      </c>
      <c r="J2" s="231" t="s">
        <v>225</v>
      </c>
      <c r="K2" s="231" t="s">
        <v>226</v>
      </c>
      <c r="L2" s="231" t="s">
        <v>227</v>
      </c>
      <c r="M2" s="233" t="s">
        <v>228</v>
      </c>
    </row>
    <row r="3" spans="2:13" ht="15" thickBot="1">
      <c r="B3" s="236" t="s">
        <v>220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4"/>
    </row>
    <row r="4" spans="2:13">
      <c r="B4" s="240" t="s">
        <v>378</v>
      </c>
      <c r="C4" s="137" t="s">
        <v>387</v>
      </c>
      <c r="D4" s="138">
        <v>5.3</v>
      </c>
      <c r="E4" s="139">
        <v>45884</v>
      </c>
      <c r="F4" s="139">
        <v>42965</v>
      </c>
      <c r="G4" s="239">
        <v>1.8</v>
      </c>
      <c r="H4" s="138"/>
      <c r="I4" s="138"/>
      <c r="J4" s="138"/>
      <c r="K4" s="243"/>
      <c r="L4" s="138">
        <v>86.5</v>
      </c>
      <c r="M4" s="140">
        <v>9.1562000000000004E-2</v>
      </c>
    </row>
    <row r="5" spans="2:13">
      <c r="B5" s="241" t="s">
        <v>379</v>
      </c>
      <c r="C5" s="137" t="s">
        <v>385</v>
      </c>
      <c r="D5" s="130">
        <v>5.3</v>
      </c>
      <c r="E5" s="131">
        <v>45884</v>
      </c>
      <c r="F5" s="131">
        <v>42965</v>
      </c>
      <c r="G5" s="239">
        <v>1.8</v>
      </c>
      <c r="H5" s="130"/>
      <c r="I5" s="130"/>
      <c r="J5" s="130"/>
      <c r="K5" s="244"/>
      <c r="L5" s="130">
        <v>86.22</v>
      </c>
      <c r="M5" s="132">
        <v>9.1694999999999999E-2</v>
      </c>
    </row>
    <row r="6" spans="2:13">
      <c r="B6" s="241" t="s">
        <v>380</v>
      </c>
      <c r="C6" s="137" t="s">
        <v>386</v>
      </c>
      <c r="D6" s="130">
        <v>2.375</v>
      </c>
      <c r="E6" s="131">
        <v>44635</v>
      </c>
      <c r="F6" s="131">
        <v>42816</v>
      </c>
      <c r="G6" s="239">
        <v>0.97750000000000004</v>
      </c>
      <c r="H6" s="130"/>
      <c r="I6" s="130"/>
      <c r="J6" s="130"/>
      <c r="K6" s="244"/>
      <c r="L6" s="130">
        <v>90.5</v>
      </c>
      <c r="M6" s="132">
        <v>5.2882999999999999E-2</v>
      </c>
    </row>
    <row r="7" spans="2:13">
      <c r="B7" s="241" t="s">
        <v>381</v>
      </c>
      <c r="C7" s="137" t="s">
        <v>388</v>
      </c>
      <c r="D7" s="130">
        <v>1.25</v>
      </c>
      <c r="E7" s="131">
        <v>44256</v>
      </c>
      <c r="F7" s="131">
        <v>41703</v>
      </c>
      <c r="G7" s="239">
        <v>1.2</v>
      </c>
      <c r="H7" s="130"/>
      <c r="I7" s="130"/>
      <c r="J7" s="130"/>
      <c r="K7" s="244"/>
      <c r="L7" s="130">
        <v>90.23</v>
      </c>
      <c r="M7" s="132">
        <v>5.0500000000000003E-2</v>
      </c>
    </row>
    <row r="8" spans="2:13">
      <c r="B8" s="100"/>
      <c r="C8" s="137"/>
      <c r="D8" s="130">
        <v>2</v>
      </c>
      <c r="E8" s="246">
        <v>45337</v>
      </c>
      <c r="F8" s="131">
        <v>43587</v>
      </c>
      <c r="G8" s="239">
        <v>1.6</v>
      </c>
      <c r="H8" s="130"/>
      <c r="I8" s="130"/>
      <c r="J8" s="130"/>
      <c r="K8" s="244"/>
      <c r="L8" s="130"/>
      <c r="M8" s="132"/>
    </row>
    <row r="9" spans="2:13">
      <c r="B9" s="100"/>
      <c r="C9" s="137"/>
      <c r="D9" s="130"/>
      <c r="E9" s="131"/>
      <c r="F9" s="131"/>
      <c r="G9" s="131"/>
      <c r="H9" s="130"/>
      <c r="I9" s="130"/>
      <c r="J9" s="130"/>
      <c r="K9" s="244"/>
      <c r="L9" s="130"/>
      <c r="M9" s="132"/>
    </row>
    <row r="10" spans="2:13" ht="15" thickBot="1">
      <c r="B10" s="102"/>
      <c r="C10" s="133"/>
      <c r="D10" s="134"/>
      <c r="E10" s="135"/>
      <c r="F10" s="135"/>
      <c r="G10" s="135"/>
      <c r="H10" s="134"/>
      <c r="I10" s="134"/>
      <c r="J10" s="134"/>
      <c r="K10" s="245"/>
      <c r="L10" s="134"/>
      <c r="M10" s="136"/>
    </row>
    <row r="11" spans="2:13" ht="15" thickBot="1"/>
    <row r="12" spans="2:13" ht="15" thickBot="1">
      <c r="F12" s="242" t="s">
        <v>390</v>
      </c>
      <c r="G12" s="247">
        <f>SUM(G4:G10)</f>
        <v>7.3775000000000013</v>
      </c>
      <c r="L12" s="242" t="s">
        <v>291</v>
      </c>
      <c r="M12" s="218">
        <f>AVERAGE(M4:M10)</f>
        <v>7.1660000000000001E-2</v>
      </c>
    </row>
    <row r="13" spans="2:13" ht="15" thickBot="1">
      <c r="L13" s="242" t="s">
        <v>389</v>
      </c>
      <c r="M13" s="218">
        <f>AVERAGE(D4:D10)/100</f>
        <v>3.245E-2</v>
      </c>
    </row>
  </sheetData>
  <mergeCells count="12">
    <mergeCell ref="K2:K3"/>
    <mergeCell ref="L2:L3"/>
    <mergeCell ref="M2:M3"/>
    <mergeCell ref="B2:B3"/>
    <mergeCell ref="C2:C3"/>
    <mergeCell ref="D2:D3"/>
    <mergeCell ref="E2:E3"/>
    <mergeCell ref="H2:H3"/>
    <mergeCell ref="I2:I3"/>
    <mergeCell ref="J2:J3"/>
    <mergeCell ref="F2:F3"/>
    <mergeCell ref="G2:G3"/>
  </mergeCells>
  <hyperlinks>
    <hyperlink ref="B4" r:id="rId1" xr:uid="{F465DD79-2B37-4C1B-A18E-EAADED82346E}"/>
    <hyperlink ref="B7" r:id="rId2" xr:uid="{C8C9BEAD-6600-4909-9E52-621BDE408567}"/>
    <hyperlink ref="B5" r:id="rId3" xr:uid="{F1AB438F-110E-4825-9B48-98ABDC8F7CD0}"/>
    <hyperlink ref="B6" r:id="rId4" xr:uid="{47062E36-708B-433A-B143-9B166FE4A816}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30"/>
  <sheetViews>
    <sheetView zoomScale="70" zoomScaleNormal="70" workbookViewId="0">
      <selection activeCell="D35" sqref="D35"/>
    </sheetView>
  </sheetViews>
  <sheetFormatPr defaultRowHeight="14.4"/>
  <cols>
    <col min="1" max="1" width="19.6640625" bestFit="1" customWidth="1"/>
    <col min="2" max="2" width="15.109375" customWidth="1"/>
    <col min="4" max="4" width="61.109375" customWidth="1"/>
  </cols>
  <sheetData>
    <row r="3" spans="1:4" ht="18">
      <c r="A3" s="90" t="s">
        <v>229</v>
      </c>
    </row>
    <row r="4" spans="1:4">
      <c r="A4" s="6" t="s">
        <v>230</v>
      </c>
      <c r="C4" s="91">
        <f>(((C11+C16)/2)*B30)+(C22*B29)</f>
        <v>8.508710801393729E-2</v>
      </c>
    </row>
    <row r="6" spans="1:4">
      <c r="A6" s="59" t="s">
        <v>231</v>
      </c>
    </row>
    <row r="7" spans="1:4">
      <c r="A7" s="6" t="s">
        <v>248</v>
      </c>
    </row>
    <row r="8" spans="1:4">
      <c r="A8" t="s">
        <v>232</v>
      </c>
      <c r="B8" s="92">
        <v>2.5000000000000001E-2</v>
      </c>
      <c r="D8" t="s">
        <v>284</v>
      </c>
    </row>
    <row r="9" spans="1:4">
      <c r="A9" t="s">
        <v>233</v>
      </c>
      <c r="B9" s="39">
        <v>1</v>
      </c>
    </row>
    <row r="10" spans="1:4">
      <c r="A10" t="s">
        <v>234</v>
      </c>
      <c r="B10" s="25">
        <v>0.05</v>
      </c>
    </row>
    <row r="11" spans="1:4">
      <c r="A11" t="s">
        <v>235</v>
      </c>
      <c r="C11" s="93">
        <f>(B10*B9)+B8</f>
        <v>7.5000000000000011E-2</v>
      </c>
    </row>
    <row r="12" spans="1:4">
      <c r="C12" s="92"/>
    </row>
    <row r="13" spans="1:4">
      <c r="A13" s="6" t="s">
        <v>236</v>
      </c>
      <c r="C13" s="92"/>
    </row>
    <row r="14" spans="1:4">
      <c r="A14" t="s">
        <v>281</v>
      </c>
      <c r="B14" s="92">
        <v>0.06</v>
      </c>
      <c r="C14" s="92"/>
      <c r="D14" t="s">
        <v>364</v>
      </c>
    </row>
    <row r="15" spans="1:4">
      <c r="A15" t="s">
        <v>282</v>
      </c>
      <c r="B15" s="96">
        <v>4.4999999999999998E-2</v>
      </c>
      <c r="C15" s="92"/>
    </row>
    <row r="16" spans="1:4">
      <c r="C16" s="95">
        <f>B14+B15</f>
        <v>0.105</v>
      </c>
    </row>
    <row r="17" spans="1:4">
      <c r="C17" s="94"/>
    </row>
    <row r="18" spans="1:4">
      <c r="C18" s="94"/>
    </row>
    <row r="19" spans="1:4">
      <c r="A19" s="59" t="s">
        <v>237</v>
      </c>
      <c r="C19" s="94"/>
    </row>
    <row r="20" spans="1:4">
      <c r="A20" t="s">
        <v>238</v>
      </c>
      <c r="B20" s="92">
        <v>7.4999999999999997E-2</v>
      </c>
      <c r="D20" t="s">
        <v>394</v>
      </c>
    </row>
    <row r="21" spans="1:4">
      <c r="A21" t="s">
        <v>239</v>
      </c>
      <c r="B21" s="25">
        <f>Forecasts!C6</f>
        <v>0.2</v>
      </c>
    </row>
    <row r="22" spans="1:4">
      <c r="A22" t="s">
        <v>240</v>
      </c>
      <c r="C22" s="95">
        <f>B20*(1-B21)</f>
        <v>0.06</v>
      </c>
    </row>
    <row r="23" spans="1:4">
      <c r="C23" s="94"/>
    </row>
    <row r="25" spans="1:4">
      <c r="C25" s="94"/>
    </row>
    <row r="26" spans="1:4" ht="15" thickBot="1">
      <c r="A26" s="59" t="s">
        <v>241</v>
      </c>
    </row>
    <row r="27" spans="1:4">
      <c r="A27" s="98" t="s">
        <v>242</v>
      </c>
      <c r="B27" s="99">
        <v>48</v>
      </c>
      <c r="D27" t="s">
        <v>249</v>
      </c>
    </row>
    <row r="28" spans="1:4">
      <c r="A28" s="100" t="s">
        <v>243</v>
      </c>
      <c r="B28" s="101">
        <v>9.4</v>
      </c>
      <c r="D28" t="s">
        <v>244</v>
      </c>
    </row>
    <row r="29" spans="1:4">
      <c r="A29" s="100" t="s">
        <v>245</v>
      </c>
      <c r="B29" s="67">
        <f>B28/(B27+B28)</f>
        <v>0.16376306620209061</v>
      </c>
    </row>
    <row r="30" spans="1:4" ht="15" thickBot="1">
      <c r="A30" s="102" t="s">
        <v>246</v>
      </c>
      <c r="B30" s="69">
        <f>1-B29</f>
        <v>0.83623693379790942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0"/>
  <sheetViews>
    <sheetView zoomScale="70" zoomScaleNormal="70" workbookViewId="0">
      <selection activeCell="C15" sqref="C15"/>
    </sheetView>
  </sheetViews>
  <sheetFormatPr defaultRowHeight="14.4"/>
  <cols>
    <col min="1" max="1" width="19.88671875" customWidth="1"/>
    <col min="3" max="7" width="13.88671875" customWidth="1"/>
    <col min="8" max="9" width="14.6640625" customWidth="1"/>
  </cols>
  <sheetData>
    <row r="1" spans="1:12">
      <c r="E1" s="171" t="s">
        <v>376</v>
      </c>
    </row>
    <row r="3" spans="1:12" ht="43.2">
      <c r="A3" s="6" t="s">
        <v>272</v>
      </c>
      <c r="B3" s="6" t="s">
        <v>273</v>
      </c>
      <c r="C3" s="122" t="s">
        <v>270</v>
      </c>
      <c r="D3" s="122" t="s">
        <v>362</v>
      </c>
      <c r="E3" s="122" t="s">
        <v>276</v>
      </c>
      <c r="F3" s="122" t="s">
        <v>274</v>
      </c>
      <c r="G3" s="122" t="s">
        <v>19</v>
      </c>
      <c r="H3" s="122" t="s">
        <v>277</v>
      </c>
      <c r="I3" s="122" t="s">
        <v>275</v>
      </c>
      <c r="K3" s="122"/>
      <c r="L3" s="122"/>
    </row>
    <row r="4" spans="1:12">
      <c r="A4" s="52" t="s">
        <v>355</v>
      </c>
      <c r="B4" s="52" t="s">
        <v>355</v>
      </c>
      <c r="C4" s="167">
        <v>180</v>
      </c>
      <c r="D4" s="168">
        <v>240</v>
      </c>
      <c r="E4" s="168">
        <v>48</v>
      </c>
      <c r="F4" s="167">
        <v>2.4300000000000002</v>
      </c>
      <c r="G4" s="168">
        <f>'TSLA Income Statement'!B33</f>
        <v>-1004</v>
      </c>
      <c r="H4" s="169">
        <v>0.18</v>
      </c>
      <c r="I4" s="170">
        <f>(E4*1000)/(G4*(1-H4))</f>
        <v>-58.303371878340293</v>
      </c>
      <c r="K4" s="55"/>
      <c r="L4" s="55"/>
    </row>
    <row r="5" spans="1:12">
      <c r="A5" s="52" t="s">
        <v>360</v>
      </c>
      <c r="B5" s="52" t="s">
        <v>360</v>
      </c>
      <c r="C5" s="167">
        <v>1400</v>
      </c>
      <c r="D5" s="168">
        <v>40</v>
      </c>
      <c r="E5" s="168">
        <v>55.56</v>
      </c>
      <c r="F5" s="167">
        <v>2.7</v>
      </c>
      <c r="G5" s="168">
        <v>4445</v>
      </c>
      <c r="H5" s="169">
        <v>0.18</v>
      </c>
      <c r="I5" s="170">
        <f>(E5*1000)/(G5*(1-H5))</f>
        <v>15.243216549150867</v>
      </c>
      <c r="K5" s="55"/>
      <c r="L5" s="55"/>
    </row>
    <row r="6" spans="1:12">
      <c r="A6" s="52" t="s">
        <v>361</v>
      </c>
      <c r="B6" s="52" t="s">
        <v>361</v>
      </c>
      <c r="C6" s="167">
        <v>4000</v>
      </c>
      <c r="D6" s="168">
        <v>10</v>
      </c>
      <c r="E6" s="168">
        <v>41</v>
      </c>
      <c r="F6" s="167">
        <v>4.29</v>
      </c>
      <c r="G6" s="168">
        <v>3200</v>
      </c>
      <c r="H6" s="169">
        <v>0.18</v>
      </c>
      <c r="I6" s="170">
        <f>(E6*1000)/(G6*(1-H6))</f>
        <v>15.625</v>
      </c>
      <c r="K6" s="55"/>
      <c r="L6" s="55"/>
    </row>
    <row r="7" spans="1:12" ht="15" thickBot="1">
      <c r="C7" s="55"/>
      <c r="D7" s="143"/>
      <c r="E7" s="143"/>
      <c r="F7" s="55"/>
      <c r="G7" s="143"/>
      <c r="H7" s="141"/>
      <c r="I7" s="142"/>
      <c r="J7" s="55"/>
      <c r="K7" s="55"/>
    </row>
    <row r="8" spans="1:12" ht="15" thickBot="1">
      <c r="E8" s="6" t="s">
        <v>283</v>
      </c>
      <c r="H8" s="6"/>
      <c r="I8" s="166">
        <f>AVERAGE(I5:I6)</f>
        <v>15.434108274575433</v>
      </c>
    </row>
    <row r="10" spans="1:12">
      <c r="A10" s="6"/>
    </row>
    <row r="11" spans="1:12">
      <c r="A11" s="148" t="s">
        <v>286</v>
      </c>
    </row>
    <row r="12" spans="1:12">
      <c r="C12" s="164">
        <v>43435</v>
      </c>
      <c r="D12" s="164">
        <v>43070</v>
      </c>
      <c r="E12" s="164">
        <v>42705</v>
      </c>
      <c r="F12" s="164">
        <v>42339</v>
      </c>
      <c r="G12" s="164">
        <v>41974</v>
      </c>
      <c r="H12" s="60" t="s">
        <v>278</v>
      </c>
      <c r="I12" s="60" t="s">
        <v>287</v>
      </c>
    </row>
    <row r="13" spans="1:12">
      <c r="A13" s="6" t="s">
        <v>93</v>
      </c>
      <c r="C13" s="55"/>
      <c r="D13" s="55"/>
      <c r="E13" s="55"/>
      <c r="F13" s="55"/>
      <c r="G13" s="55"/>
      <c r="H13" s="55"/>
      <c r="I13" s="55"/>
    </row>
    <row r="14" spans="1:12">
      <c r="A14" s="6"/>
      <c r="B14" t="s">
        <v>355</v>
      </c>
      <c r="C14" s="150">
        <f>'Key Ratios'!C6</f>
        <v>0.8250701590271281</v>
      </c>
      <c r="D14" s="150">
        <f>'Key Ratios'!D6</f>
        <v>0.68033723921120315</v>
      </c>
      <c r="E14" s="150">
        <f>'Key Ratios'!E6</f>
        <v>0.72960949085516558</v>
      </c>
      <c r="F14" s="150">
        <f>'Key Ratios'!F6</f>
        <v>0.26516572858036275</v>
      </c>
      <c r="G14" s="150"/>
      <c r="H14" s="165">
        <f>AVERAGE(C14:G14)</f>
        <v>0.62504565441846482</v>
      </c>
      <c r="I14" s="150">
        <f>STDEV(C14:G14)</f>
        <v>0.2473284716757812</v>
      </c>
    </row>
    <row r="15" spans="1:12">
      <c r="A15" s="6"/>
      <c r="B15" t="s">
        <v>360</v>
      </c>
      <c r="C15" s="150" t="e">
        <f>#REF!</f>
        <v>#REF!</v>
      </c>
      <c r="D15" s="150" t="e">
        <f>#REF!</f>
        <v>#REF!</v>
      </c>
      <c r="E15" s="150"/>
      <c r="F15" s="150"/>
      <c r="G15" s="150"/>
      <c r="H15" s="165" t="e">
        <f t="shared" ref="H15:H36" si="0">AVERAGE(C15:G15)</f>
        <v>#REF!</v>
      </c>
      <c r="I15" s="150" t="e">
        <f>STDEV(C15:G15)</f>
        <v>#REF!</v>
      </c>
    </row>
    <row r="16" spans="1:12">
      <c r="A16" s="6"/>
      <c r="B16" t="s">
        <v>361</v>
      </c>
      <c r="C16" s="150" t="e">
        <f>#REF!</f>
        <v>#REF!</v>
      </c>
      <c r="D16" s="150" t="e">
        <f>#REF!</f>
        <v>#REF!</v>
      </c>
      <c r="E16" s="150"/>
      <c r="F16" s="150"/>
      <c r="G16" s="150"/>
      <c r="H16" s="165" t="e">
        <f t="shared" si="0"/>
        <v>#REF!</v>
      </c>
      <c r="I16" s="150" t="e">
        <f>STDEV(C16:G16)</f>
        <v>#REF!</v>
      </c>
    </row>
    <row r="17" spans="1:9">
      <c r="A17" s="6" t="s">
        <v>95</v>
      </c>
      <c r="C17" s="150"/>
      <c r="D17" s="150"/>
      <c r="E17" s="150"/>
      <c r="F17" s="150"/>
      <c r="G17" s="150"/>
      <c r="H17" s="165"/>
      <c r="I17" s="55"/>
    </row>
    <row r="18" spans="1:9">
      <c r="A18" s="6"/>
      <c r="B18" t="s">
        <v>355</v>
      </c>
      <c r="C18" s="150">
        <f>'Key Ratios'!C8</f>
        <v>0.18834164298028983</v>
      </c>
      <c r="D18" s="150">
        <f>'Key Ratios'!D8</f>
        <v>0.18913172888851093</v>
      </c>
      <c r="E18" s="150">
        <f>'Key Ratios'!E8</f>
        <v>0.2284938553872535</v>
      </c>
      <c r="F18" s="150">
        <f>'Key Ratios'!F8</f>
        <v>0.22837370242214533</v>
      </c>
      <c r="G18" s="150"/>
      <c r="H18" s="165">
        <f t="shared" si="0"/>
        <v>0.2085852324195499</v>
      </c>
      <c r="I18" s="150">
        <f>STDEV(C18:G18)</f>
        <v>2.2921449390845412E-2</v>
      </c>
    </row>
    <row r="19" spans="1:9">
      <c r="A19" s="6"/>
      <c r="B19" t="s">
        <v>360</v>
      </c>
      <c r="C19" s="150" t="e">
        <f>#REF!</f>
        <v>#REF!</v>
      </c>
      <c r="D19" s="150" t="e">
        <f>#REF!</f>
        <v>#REF!</v>
      </c>
      <c r="E19" s="150"/>
      <c r="F19" s="150"/>
      <c r="G19" s="150"/>
      <c r="H19" s="165" t="e">
        <f t="shared" si="0"/>
        <v>#REF!</v>
      </c>
      <c r="I19" s="150" t="e">
        <f>STDEV(C19:G19)</f>
        <v>#REF!</v>
      </c>
    </row>
    <row r="20" spans="1:9">
      <c r="A20" s="6"/>
      <c r="B20" t="s">
        <v>361</v>
      </c>
      <c r="C20" s="150" t="e">
        <f>#REF!</f>
        <v>#REF!</v>
      </c>
      <c r="D20" s="150" t="e">
        <f>#REF!</f>
        <v>#REF!</v>
      </c>
      <c r="E20" s="150"/>
      <c r="F20" s="150"/>
      <c r="G20" s="150"/>
      <c r="H20" s="165" t="e">
        <f t="shared" si="0"/>
        <v>#REF!</v>
      </c>
      <c r="I20" s="150" t="e">
        <f>STDEV(C20:G20)</f>
        <v>#REF!</v>
      </c>
    </row>
    <row r="21" spans="1:9">
      <c r="A21" s="6" t="s">
        <v>96</v>
      </c>
      <c r="C21" s="150"/>
      <c r="D21" s="150"/>
      <c r="E21" s="150"/>
      <c r="F21" s="150"/>
      <c r="G21" s="150"/>
      <c r="H21" s="165"/>
      <c r="I21" s="55"/>
    </row>
    <row r="22" spans="1:9">
      <c r="A22" s="6"/>
      <c r="B22" t="s">
        <v>355</v>
      </c>
      <c r="C22" s="150">
        <f>'Key Ratios'!C9</f>
        <v>-1.8032710498112857E-2</v>
      </c>
      <c r="D22" s="150">
        <f>'Key Ratios'!D9</f>
        <v>-0.13861722935623777</v>
      </c>
      <c r="E22" s="150">
        <f>'Key Ratios'!E9</f>
        <v>-9.5312946556158906E-2</v>
      </c>
      <c r="F22" s="150">
        <f>'Key Ratios'!F9</f>
        <v>-0.17696490360850223</v>
      </c>
      <c r="G22" s="150"/>
      <c r="H22" s="165">
        <f t="shared" si="0"/>
        <v>-0.10723194750475296</v>
      </c>
      <c r="I22" s="150">
        <f>STDEV(C22:G22)</f>
        <v>6.8181834213236703E-2</v>
      </c>
    </row>
    <row r="23" spans="1:9">
      <c r="A23" s="6"/>
      <c r="B23" t="s">
        <v>360</v>
      </c>
      <c r="C23" s="150" t="e">
        <f>#REF!</f>
        <v>#REF!</v>
      </c>
      <c r="D23" s="150" t="e">
        <f>#REF!</f>
        <v>#REF!</v>
      </c>
      <c r="E23" s="150"/>
      <c r="F23" s="150"/>
      <c r="G23" s="150"/>
      <c r="H23" s="165" t="e">
        <f t="shared" si="0"/>
        <v>#REF!</v>
      </c>
      <c r="I23" s="150" t="e">
        <f>STDEV(C23:G23)</f>
        <v>#REF!</v>
      </c>
    </row>
    <row r="24" spans="1:9">
      <c r="A24" s="6"/>
      <c r="B24" t="s">
        <v>361</v>
      </c>
      <c r="C24" s="150" t="e">
        <f>#REF!</f>
        <v>#REF!</v>
      </c>
      <c r="D24" s="150" t="e">
        <f>#REF!</f>
        <v>#REF!</v>
      </c>
      <c r="E24" s="150"/>
      <c r="F24" s="150"/>
      <c r="G24" s="150"/>
      <c r="H24" s="165" t="e">
        <f t="shared" si="0"/>
        <v>#REF!</v>
      </c>
      <c r="I24" s="150" t="e">
        <f>STDEV(C24:G24)</f>
        <v>#REF!</v>
      </c>
    </row>
    <row r="25" spans="1:9">
      <c r="A25" s="6" t="s">
        <v>135</v>
      </c>
      <c r="C25" s="150"/>
      <c r="D25" s="150"/>
      <c r="E25" s="150"/>
      <c r="F25" s="150"/>
      <c r="G25" s="150"/>
      <c r="H25" s="165"/>
      <c r="I25" s="55"/>
    </row>
    <row r="26" spans="1:9">
      <c r="A26" s="6"/>
      <c r="B26" t="s">
        <v>355</v>
      </c>
      <c r="C26" s="150">
        <f>'Key Ratios'!C10</f>
        <v>-8.0378360747402261E-2</v>
      </c>
      <c r="D26" s="150">
        <f>'Key Ratios'!D10</f>
        <v>-0.23029169147036313</v>
      </c>
      <c r="E26" s="150">
        <f>'Key Ratios'!E10</f>
        <v>-0.13875392969419834</v>
      </c>
      <c r="F26" s="150">
        <f>'Key Ratios'!F10</f>
        <v>-0.26693030153237768</v>
      </c>
      <c r="G26" s="150"/>
      <c r="H26" s="165">
        <f t="shared" si="0"/>
        <v>-0.17908857086108537</v>
      </c>
      <c r="I26" s="150">
        <f>STDEV(C26:G26)</f>
        <v>8.5065696310175618E-2</v>
      </c>
    </row>
    <row r="27" spans="1:9">
      <c r="A27" s="6"/>
      <c r="B27" t="s">
        <v>360</v>
      </c>
      <c r="C27" s="150" t="e">
        <f>#REF!</f>
        <v>#REF!</v>
      </c>
      <c r="D27" s="150" t="e">
        <f>#REF!</f>
        <v>#REF!</v>
      </c>
      <c r="E27" s="150"/>
      <c r="F27" s="150"/>
      <c r="G27" s="150"/>
      <c r="H27" s="165" t="e">
        <f t="shared" si="0"/>
        <v>#REF!</v>
      </c>
      <c r="I27" s="150" t="e">
        <f>STDEV(C27:G27)</f>
        <v>#REF!</v>
      </c>
    </row>
    <row r="28" spans="1:9">
      <c r="A28" s="6"/>
      <c r="B28" t="s">
        <v>361</v>
      </c>
      <c r="C28" s="150" t="e">
        <f>#REF!</f>
        <v>#REF!</v>
      </c>
      <c r="D28" s="150" t="e">
        <f>#REF!</f>
        <v>#REF!</v>
      </c>
      <c r="E28" s="150"/>
      <c r="F28" s="150"/>
      <c r="G28" s="150"/>
      <c r="H28" s="165" t="e">
        <f t="shared" si="0"/>
        <v>#REF!</v>
      </c>
      <c r="I28" s="150" t="e">
        <f>STDEV(C28:G28)</f>
        <v>#REF!</v>
      </c>
    </row>
    <row r="29" spans="1:9">
      <c r="A29" s="6" t="s">
        <v>100</v>
      </c>
      <c r="C29" s="150"/>
      <c r="D29" s="150"/>
      <c r="E29" s="150"/>
      <c r="F29" s="150"/>
      <c r="G29" s="150"/>
      <c r="H29" s="165"/>
      <c r="I29" s="55"/>
    </row>
    <row r="30" spans="1:9">
      <c r="A30" s="6"/>
      <c r="B30" t="s">
        <v>355</v>
      </c>
      <c r="C30" s="150">
        <f>'Key Ratios'!C13</f>
        <v>0.81165835701971012</v>
      </c>
      <c r="D30" s="150">
        <f>'Key Ratios'!D13</f>
        <v>0.81086827111148907</v>
      </c>
      <c r="E30" s="150">
        <f>'Key Ratios'!E13</f>
        <v>0.77150614461274647</v>
      </c>
      <c r="F30" s="150">
        <f>'Key Ratios'!F13</f>
        <v>0.77162629757785473</v>
      </c>
      <c r="G30" s="150"/>
      <c r="H30" s="165">
        <f t="shared" si="0"/>
        <v>0.79141476758045004</v>
      </c>
      <c r="I30" s="150">
        <f>STDEV(C30:G30)</f>
        <v>2.2921449390845387E-2</v>
      </c>
    </row>
    <row r="31" spans="1:9">
      <c r="A31" s="6"/>
      <c r="B31" t="s">
        <v>360</v>
      </c>
      <c r="C31" s="150" t="e">
        <f>#REF!</f>
        <v>#REF!</v>
      </c>
      <c r="D31" s="150" t="e">
        <f>#REF!</f>
        <v>#REF!</v>
      </c>
      <c r="E31" s="150"/>
      <c r="F31" s="150"/>
      <c r="G31" s="150"/>
      <c r="H31" s="165" t="e">
        <f t="shared" si="0"/>
        <v>#REF!</v>
      </c>
      <c r="I31" s="150" t="e">
        <f>STDEV(C31:G31)</f>
        <v>#REF!</v>
      </c>
    </row>
    <row r="32" spans="1:9">
      <c r="A32" s="6"/>
      <c r="B32" t="s">
        <v>361</v>
      </c>
      <c r="C32" s="150" t="e">
        <f>#REF!</f>
        <v>#REF!</v>
      </c>
      <c r="D32" s="150" t="e">
        <f>#REF!</f>
        <v>#REF!</v>
      </c>
      <c r="E32" s="150"/>
      <c r="F32" s="150"/>
      <c r="G32" s="150"/>
      <c r="H32" s="165" t="e">
        <f t="shared" si="0"/>
        <v>#REF!</v>
      </c>
      <c r="I32" s="150" t="e">
        <f>STDEV(C32:G32)</f>
        <v>#REF!</v>
      </c>
    </row>
    <row r="33" spans="1:9">
      <c r="A33" s="6" t="s">
        <v>101</v>
      </c>
      <c r="C33" s="150"/>
      <c r="D33" s="150"/>
      <c r="E33" s="150"/>
      <c r="F33" s="150"/>
      <c r="G33" s="150"/>
      <c r="H33" s="165"/>
      <c r="I33" s="55"/>
    </row>
    <row r="34" spans="1:9">
      <c r="A34" s="6"/>
      <c r="B34" t="s">
        <v>355</v>
      </c>
      <c r="C34" s="150">
        <f>'Key Ratios'!C14</f>
        <v>0.13205349238152927</v>
      </c>
      <c r="D34" s="150">
        <f>'Key Ratios'!D14</f>
        <v>0.2105621226294753</v>
      </c>
      <c r="E34" s="150">
        <f>'Key Ratios'!E14</f>
        <v>0.20462989425550157</v>
      </c>
      <c r="F34" s="150">
        <f>'Key Ratios'!F14</f>
        <v>0.22787938704893723</v>
      </c>
      <c r="G34" s="150"/>
      <c r="H34" s="165">
        <f t="shared" si="0"/>
        <v>0.19378122407886084</v>
      </c>
      <c r="I34" s="150">
        <f>STDEV(C34:G34)</f>
        <v>4.231741083446694E-2</v>
      </c>
    </row>
    <row r="35" spans="1:9">
      <c r="A35" s="23"/>
      <c r="B35" t="s">
        <v>360</v>
      </c>
      <c r="C35" s="150" t="e">
        <f>#REF!</f>
        <v>#REF!</v>
      </c>
      <c r="D35" s="150" t="e">
        <f>#REF!</f>
        <v>#REF!</v>
      </c>
      <c r="E35" s="150"/>
      <c r="F35" s="150"/>
      <c r="G35" s="150"/>
      <c r="H35" s="165" t="e">
        <f t="shared" si="0"/>
        <v>#REF!</v>
      </c>
      <c r="I35" s="150" t="e">
        <f>STDEV(C35:G35)</f>
        <v>#REF!</v>
      </c>
    </row>
    <row r="36" spans="1:9">
      <c r="B36" t="s">
        <v>361</v>
      </c>
      <c r="C36" s="150" t="e">
        <f>#REF!</f>
        <v>#REF!</v>
      </c>
      <c r="D36" s="150" t="e">
        <f>#REF!</f>
        <v>#REF!</v>
      </c>
      <c r="E36" s="150"/>
      <c r="F36" s="150"/>
      <c r="G36" s="150"/>
      <c r="H36" s="165" t="e">
        <f t="shared" si="0"/>
        <v>#REF!</v>
      </c>
      <c r="I36" s="150" t="e">
        <f>STDEV(C36:G36)</f>
        <v>#REF!</v>
      </c>
    </row>
    <row r="37" spans="1:9">
      <c r="A37" s="217" t="s">
        <v>112</v>
      </c>
      <c r="C37" s="55"/>
      <c r="D37" s="55"/>
      <c r="E37" s="55"/>
      <c r="F37" s="55"/>
      <c r="G37" s="55"/>
      <c r="H37" s="165"/>
    </row>
    <row r="38" spans="1:9">
      <c r="B38" t="s">
        <v>355</v>
      </c>
      <c r="C38" s="150">
        <f>'Key Ratios'!C50</f>
        <v>0.3747893089333012</v>
      </c>
      <c r="D38" s="150">
        <f>'Key Ratios'!D50</f>
        <v>0.3444968792814736</v>
      </c>
      <c r="E38" s="150">
        <f>'Key Ratios'!E50</f>
        <v>0.33029721955896452</v>
      </c>
      <c r="F38" s="150">
        <f>'Key Ratios'!F50</f>
        <v>0.45921667265540783</v>
      </c>
      <c r="G38" s="150"/>
      <c r="H38" s="165">
        <f t="shared" ref="H38:H40" si="1">AVERAGE(C38:G38)</f>
        <v>0.37720002010728682</v>
      </c>
      <c r="I38" s="150">
        <f t="shared" ref="I38:I40" si="2">STDEV(C38:G38)</f>
        <v>5.7740543071895301E-2</v>
      </c>
    </row>
    <row r="39" spans="1:9">
      <c r="B39" t="s">
        <v>360</v>
      </c>
      <c r="C39" s="150" t="e">
        <f>#REF!/#REF!</f>
        <v>#REF!</v>
      </c>
      <c r="D39" s="150" t="e">
        <f>#REF!/#REF!</f>
        <v>#REF!</v>
      </c>
      <c r="E39" s="150"/>
      <c r="F39" s="150"/>
      <c r="G39" s="150"/>
      <c r="H39" s="165" t="e">
        <f t="shared" si="1"/>
        <v>#REF!</v>
      </c>
      <c r="I39" s="150" t="e">
        <f t="shared" si="2"/>
        <v>#REF!</v>
      </c>
    </row>
    <row r="40" spans="1:9">
      <c r="B40" t="s">
        <v>361</v>
      </c>
      <c r="C40" s="150" t="e">
        <f>#REF!/#REF!</f>
        <v>#REF!</v>
      </c>
      <c r="D40" s="150" t="e">
        <f>#REF!/#REF!</f>
        <v>#REF!</v>
      </c>
      <c r="E40" s="150"/>
      <c r="F40" s="150"/>
      <c r="G40" s="150"/>
      <c r="H40" s="165" t="e">
        <f t="shared" si="1"/>
        <v>#REF!</v>
      </c>
      <c r="I40" s="150" t="e">
        <f t="shared" si="2"/>
        <v>#REF!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9"/>
  <sheetViews>
    <sheetView zoomScale="80" zoomScaleNormal="80" workbookViewId="0">
      <selection activeCell="H13" sqref="H13"/>
    </sheetView>
  </sheetViews>
  <sheetFormatPr defaultRowHeight="14.4"/>
  <cols>
    <col min="1" max="1" width="36.5546875" customWidth="1"/>
    <col min="2" max="4" width="12" style="55" bestFit="1" customWidth="1"/>
    <col min="5" max="5" width="11.44140625" customWidth="1"/>
    <col min="6" max="6" width="11" customWidth="1"/>
  </cols>
  <sheetData>
    <row r="1" spans="1:6" ht="15.75" customHeight="1">
      <c r="A1" s="230" t="str">
        <f>Cover!A1</f>
        <v>TESLA, INC.</v>
      </c>
      <c r="B1" s="230"/>
      <c r="C1" s="230"/>
      <c r="D1" s="230"/>
      <c r="E1" s="230"/>
    </row>
    <row r="3" spans="1:6">
      <c r="A3" s="6"/>
    </row>
    <row r="5" spans="1:6">
      <c r="A5" s="2" t="s">
        <v>3</v>
      </c>
      <c r="B5" s="152">
        <v>43435</v>
      </c>
      <c r="C5" s="152">
        <v>43070</v>
      </c>
      <c r="D5" s="152">
        <v>42705</v>
      </c>
      <c r="E5" s="152">
        <v>42339</v>
      </c>
      <c r="F5" s="152">
        <v>41974</v>
      </c>
    </row>
    <row r="6" spans="1:6" ht="19.5" customHeight="1">
      <c r="A6" s="2" t="s">
        <v>4</v>
      </c>
      <c r="B6" s="122" t="s">
        <v>5</v>
      </c>
      <c r="C6" s="122" t="s">
        <v>5</v>
      </c>
      <c r="D6" s="122" t="s">
        <v>5</v>
      </c>
      <c r="E6" s="122" t="s">
        <v>5</v>
      </c>
      <c r="F6" s="122" t="s">
        <v>5</v>
      </c>
    </row>
    <row r="7" spans="1:6" ht="15" customHeight="1">
      <c r="A7" s="237" t="s">
        <v>6</v>
      </c>
      <c r="B7" s="237"/>
      <c r="C7" s="237"/>
      <c r="D7" s="237"/>
    </row>
    <row r="8" spans="1:6" ht="15" customHeight="1">
      <c r="A8" s="41" t="s">
        <v>310</v>
      </c>
      <c r="B8" s="154">
        <v>17632</v>
      </c>
      <c r="C8" s="154">
        <v>8535</v>
      </c>
      <c r="D8" s="154">
        <v>5589</v>
      </c>
      <c r="E8" s="154">
        <v>3432</v>
      </c>
      <c r="F8" s="154">
        <v>2874</v>
      </c>
    </row>
    <row r="9" spans="1:6" ht="15" customHeight="1">
      <c r="A9" s="41" t="s">
        <v>311</v>
      </c>
      <c r="B9" s="154">
        <v>883</v>
      </c>
      <c r="C9" s="154">
        <v>1107</v>
      </c>
      <c r="D9" s="154">
        <v>761</v>
      </c>
      <c r="E9" s="154">
        <v>309</v>
      </c>
      <c r="F9" s="154">
        <v>133</v>
      </c>
    </row>
    <row r="10" spans="1:6" ht="15" customHeight="1">
      <c r="A10" s="41" t="s">
        <v>312</v>
      </c>
      <c r="B10" s="154">
        <f>B8+B9</f>
        <v>18515</v>
      </c>
      <c r="C10" s="154">
        <f>C8+C9</f>
        <v>9642</v>
      </c>
      <c r="D10" s="154">
        <f>D8+D9</f>
        <v>6350</v>
      </c>
      <c r="E10" s="154">
        <f t="shared" ref="E10:F10" si="0">E8+E9</f>
        <v>3741</v>
      </c>
      <c r="F10" s="154">
        <f t="shared" si="0"/>
        <v>3007</v>
      </c>
    </row>
    <row r="11" spans="1:6" ht="15" customHeight="1">
      <c r="A11" s="41" t="s">
        <v>313</v>
      </c>
      <c r="B11" s="154">
        <v>1555</v>
      </c>
      <c r="C11" s="154">
        <v>1116</v>
      </c>
      <c r="D11" s="154">
        <v>181</v>
      </c>
      <c r="E11" s="154">
        <v>14</v>
      </c>
      <c r="F11" s="154">
        <v>4</v>
      </c>
    </row>
    <row r="12" spans="1:6" ht="15" customHeight="1">
      <c r="A12" s="41" t="s">
        <v>314</v>
      </c>
      <c r="B12" s="154">
        <v>1391</v>
      </c>
      <c r="C12" s="154">
        <v>1001</v>
      </c>
      <c r="D12" s="154">
        <v>467</v>
      </c>
      <c r="E12" s="154">
        <v>291</v>
      </c>
      <c r="F12" s="154">
        <v>187</v>
      </c>
    </row>
    <row r="13" spans="1:6" ht="16.2">
      <c r="A13" s="3" t="s">
        <v>7</v>
      </c>
      <c r="B13" s="153">
        <f>SUM(B10:B12)</f>
        <v>21461</v>
      </c>
      <c r="C13" s="153">
        <f t="shared" ref="C13:F13" si="1">SUM(C10:C12)</f>
        <v>11759</v>
      </c>
      <c r="D13" s="153">
        <f t="shared" si="1"/>
        <v>6998</v>
      </c>
      <c r="E13" s="153">
        <f t="shared" si="1"/>
        <v>4046</v>
      </c>
      <c r="F13" s="153">
        <f t="shared" si="1"/>
        <v>3198</v>
      </c>
    </row>
    <row r="14" spans="1:6">
      <c r="A14" s="2" t="s">
        <v>8</v>
      </c>
      <c r="B14" s="154">
        <v>0</v>
      </c>
      <c r="C14" s="154">
        <v>0</v>
      </c>
      <c r="D14" s="154">
        <v>0</v>
      </c>
      <c r="E14" s="154">
        <v>0</v>
      </c>
      <c r="F14" s="154">
        <v>0</v>
      </c>
    </row>
    <row r="15" spans="1:6">
      <c r="A15" s="128" t="s">
        <v>9</v>
      </c>
      <c r="B15" s="154">
        <f>SUM(B18:B20)</f>
        <v>17419</v>
      </c>
      <c r="C15" s="154">
        <f t="shared" ref="C15:F15" si="2">SUM(C18:C20)</f>
        <v>9535</v>
      </c>
      <c r="D15" s="154">
        <f t="shared" si="2"/>
        <v>5399</v>
      </c>
      <c r="E15" s="154">
        <f t="shared" si="2"/>
        <v>3122</v>
      </c>
      <c r="F15" s="154">
        <f t="shared" si="2"/>
        <v>2315</v>
      </c>
    </row>
    <row r="16" spans="1:6">
      <c r="A16" s="41" t="s">
        <v>310</v>
      </c>
      <c r="B16" s="154">
        <v>13686</v>
      </c>
      <c r="C16" s="154">
        <v>6724</v>
      </c>
      <c r="D16" s="154">
        <v>4268</v>
      </c>
      <c r="E16" s="154">
        <v>2640</v>
      </c>
      <c r="F16" s="154">
        <v>2058</v>
      </c>
    </row>
    <row r="17" spans="1:6">
      <c r="A17" s="41" t="s">
        <v>311</v>
      </c>
      <c r="B17" s="154">
        <v>488</v>
      </c>
      <c r="C17" s="154">
        <v>708</v>
      </c>
      <c r="D17" s="154">
        <v>481</v>
      </c>
      <c r="E17" s="154">
        <v>183</v>
      </c>
      <c r="F17" s="154">
        <v>87</v>
      </c>
    </row>
    <row r="18" spans="1:6">
      <c r="A18" s="41" t="s">
        <v>312</v>
      </c>
      <c r="B18" s="154">
        <f>B16+B17</f>
        <v>14174</v>
      </c>
      <c r="C18" s="154">
        <f>C16+C17</f>
        <v>7432</v>
      </c>
      <c r="D18" s="154">
        <f>D16+D17</f>
        <v>4749</v>
      </c>
      <c r="E18" s="154">
        <f>E16+E17</f>
        <v>2823</v>
      </c>
      <c r="F18" s="154">
        <f>F16+F17</f>
        <v>2145</v>
      </c>
    </row>
    <row r="19" spans="1:6">
      <c r="A19" s="41" t="s">
        <v>313</v>
      </c>
      <c r="B19" s="154">
        <v>1365</v>
      </c>
      <c r="C19" s="154">
        <v>874</v>
      </c>
      <c r="D19" s="154">
        <v>178</v>
      </c>
      <c r="E19" s="154">
        <v>12</v>
      </c>
      <c r="F19" s="154">
        <v>4</v>
      </c>
    </row>
    <row r="20" spans="1:6">
      <c r="A20" s="41" t="s">
        <v>314</v>
      </c>
      <c r="B20" s="154">
        <v>1880</v>
      </c>
      <c r="C20" s="154">
        <v>1229</v>
      </c>
      <c r="D20" s="154">
        <v>472</v>
      </c>
      <c r="E20" s="154">
        <v>287</v>
      </c>
      <c r="F20" s="154">
        <v>166</v>
      </c>
    </row>
    <row r="21" spans="1:6" ht="16.2">
      <c r="A21" s="2" t="s">
        <v>10</v>
      </c>
      <c r="B21" s="153">
        <f>B13-B15</f>
        <v>4042</v>
      </c>
      <c r="C21" s="153">
        <f t="shared" ref="C21:F21" si="3">C13-C15</f>
        <v>2224</v>
      </c>
      <c r="D21" s="153">
        <f t="shared" si="3"/>
        <v>1599</v>
      </c>
      <c r="E21" s="153">
        <f t="shared" si="3"/>
        <v>924</v>
      </c>
      <c r="F21" s="153">
        <f t="shared" si="3"/>
        <v>883</v>
      </c>
    </row>
    <row r="22" spans="1:6">
      <c r="A22" s="2"/>
      <c r="B22" s="154"/>
      <c r="C22" s="154"/>
      <c r="D22" s="154"/>
      <c r="E22" s="154"/>
      <c r="F22" s="154"/>
    </row>
    <row r="23" spans="1:6">
      <c r="A23" s="2" t="s">
        <v>11</v>
      </c>
      <c r="B23" s="154">
        <v>1460</v>
      </c>
      <c r="C23" s="154">
        <v>1378</v>
      </c>
      <c r="D23" s="154">
        <v>834</v>
      </c>
      <c r="E23" s="154">
        <v>718</v>
      </c>
      <c r="F23" s="154">
        <v>465</v>
      </c>
    </row>
    <row r="24" spans="1:6">
      <c r="A24" s="2" t="s">
        <v>12</v>
      </c>
      <c r="B24" s="154">
        <v>2834</v>
      </c>
      <c r="C24" s="154">
        <v>2476</v>
      </c>
      <c r="D24" s="154">
        <v>1432</v>
      </c>
      <c r="E24" s="154">
        <v>922</v>
      </c>
      <c r="F24" s="154">
        <v>604</v>
      </c>
    </row>
    <row r="25" spans="1:6">
      <c r="A25" s="2" t="s">
        <v>315</v>
      </c>
      <c r="B25" s="154">
        <v>135</v>
      </c>
      <c r="C25" s="154"/>
      <c r="D25" s="154"/>
      <c r="E25" s="154"/>
      <c r="F25" s="154"/>
    </row>
    <row r="26" spans="1:6" ht="16.2">
      <c r="A26" s="3" t="s">
        <v>13</v>
      </c>
      <c r="B26" s="153">
        <f>B21-B23-B24-B25</f>
        <v>-387</v>
      </c>
      <c r="C26" s="153">
        <f>C21-C23-C24-C25</f>
        <v>-1630</v>
      </c>
      <c r="D26" s="153">
        <f>D21-D23-D24-D25</f>
        <v>-667</v>
      </c>
      <c r="E26" s="153">
        <f>E21-E23-E24-E25</f>
        <v>-716</v>
      </c>
      <c r="F26" s="153">
        <f>F21-F23-F24-F25</f>
        <v>-186</v>
      </c>
    </row>
    <row r="27" spans="1:6" ht="16.2">
      <c r="A27" s="3"/>
      <c r="B27" s="155"/>
      <c r="C27" s="155"/>
      <c r="D27" s="155"/>
      <c r="E27" s="155"/>
      <c r="F27" s="155"/>
    </row>
    <row r="28" spans="1:6">
      <c r="A28" s="2" t="s">
        <v>14</v>
      </c>
      <c r="B28" s="154"/>
      <c r="C28" s="154"/>
      <c r="D28" s="154"/>
      <c r="E28" s="154"/>
      <c r="F28" s="154"/>
    </row>
    <row r="29" spans="1:6">
      <c r="A29" s="2" t="s">
        <v>15</v>
      </c>
      <c r="B29" s="154">
        <f>B26-B28</f>
        <v>-387</v>
      </c>
      <c r="C29" s="154">
        <f>C26-C28</f>
        <v>-1630</v>
      </c>
      <c r="D29" s="154">
        <f>D26-D28</f>
        <v>-667</v>
      </c>
      <c r="E29" s="154">
        <f>E26-E28</f>
        <v>-716</v>
      </c>
      <c r="F29" s="154">
        <f>F26-F28</f>
        <v>-186</v>
      </c>
    </row>
    <row r="30" spans="1:6">
      <c r="A30" s="2" t="s">
        <v>16</v>
      </c>
      <c r="B30" s="154">
        <f>24-663</f>
        <v>-639</v>
      </c>
      <c r="C30" s="154">
        <f>20-471</f>
        <v>-451</v>
      </c>
      <c r="D30" s="154">
        <f>9-199</f>
        <v>-190</v>
      </c>
      <c r="E30" s="154">
        <f>9-199</f>
        <v>-190</v>
      </c>
      <c r="F30" s="154">
        <f>9-199</f>
        <v>-190</v>
      </c>
    </row>
    <row r="31" spans="1:6">
      <c r="A31" s="2" t="s">
        <v>17</v>
      </c>
      <c r="B31" s="154">
        <v>22</v>
      </c>
      <c r="C31" s="154">
        <v>-125</v>
      </c>
      <c r="D31" s="154">
        <v>111</v>
      </c>
      <c r="E31" s="154">
        <v>-42</v>
      </c>
      <c r="F31" s="154">
        <v>2</v>
      </c>
    </row>
    <row r="32" spans="1:6">
      <c r="A32" s="2" t="s">
        <v>18</v>
      </c>
      <c r="B32" s="154"/>
      <c r="C32" s="154"/>
      <c r="D32" s="154"/>
      <c r="E32" s="154"/>
      <c r="F32" s="154"/>
    </row>
    <row r="33" spans="1:6" ht="16.2">
      <c r="A33" s="3" t="s">
        <v>19</v>
      </c>
      <c r="B33" s="153">
        <f>B29+B30+B31</f>
        <v>-1004</v>
      </c>
      <c r="C33" s="153">
        <f>C29+C30+C31</f>
        <v>-2206</v>
      </c>
      <c r="D33" s="153">
        <f>D29+D30+D31</f>
        <v>-746</v>
      </c>
      <c r="E33" s="153">
        <f t="shared" ref="E33:F33" si="4">E29+E30+E31</f>
        <v>-948</v>
      </c>
      <c r="F33" s="153">
        <f t="shared" si="4"/>
        <v>-374</v>
      </c>
    </row>
    <row r="34" spans="1:6" ht="16.2">
      <c r="A34" s="3"/>
      <c r="B34" s="155"/>
      <c r="C34" s="155"/>
      <c r="D34" s="155"/>
      <c r="E34" s="155"/>
      <c r="F34" s="155"/>
    </row>
    <row r="35" spans="1:6">
      <c r="A35" s="2" t="s">
        <v>20</v>
      </c>
      <c r="B35" s="154">
        <v>663</v>
      </c>
      <c r="C35" s="154">
        <v>471</v>
      </c>
      <c r="D35" s="154">
        <v>199</v>
      </c>
      <c r="E35" s="154">
        <v>119</v>
      </c>
      <c r="F35" s="154">
        <v>101</v>
      </c>
    </row>
    <row r="36" spans="1:6">
      <c r="A36" s="2" t="s">
        <v>21</v>
      </c>
      <c r="B36" s="154">
        <f>B33-B35</f>
        <v>-1667</v>
      </c>
      <c r="C36" s="154">
        <f>C33-C35</f>
        <v>-2677</v>
      </c>
      <c r="D36" s="154">
        <f>D33-D35</f>
        <v>-945</v>
      </c>
      <c r="E36" s="154">
        <f t="shared" ref="E36:F36" si="5">E33-E35</f>
        <v>-1067</v>
      </c>
      <c r="F36" s="154">
        <f t="shared" si="5"/>
        <v>-475</v>
      </c>
    </row>
    <row r="37" spans="1:6">
      <c r="A37" s="2" t="s">
        <v>203</v>
      </c>
      <c r="B37" s="156">
        <f>B38/B36</f>
        <v>-3.4793041391721659E-2</v>
      </c>
      <c r="C37" s="156">
        <f>C38/C36</f>
        <v>-1.1580127007844603E-2</v>
      </c>
      <c r="D37" s="156">
        <f>D38/D36</f>
        <v>-2.7513227513227514E-2</v>
      </c>
      <c r="E37" s="156">
        <f t="shared" ref="E37:F37" si="6">E38/E36</f>
        <v>-1.2183692596063731E-2</v>
      </c>
      <c r="F37" s="156">
        <f t="shared" si="6"/>
        <v>-1.8947368421052633E-2</v>
      </c>
    </row>
    <row r="38" spans="1:6">
      <c r="A38" s="2" t="s">
        <v>206</v>
      </c>
      <c r="B38" s="154">
        <v>58</v>
      </c>
      <c r="C38" s="154">
        <v>31</v>
      </c>
      <c r="D38" s="154">
        <v>26</v>
      </c>
      <c r="E38" s="154">
        <v>13</v>
      </c>
      <c r="F38" s="154">
        <v>9</v>
      </c>
    </row>
    <row r="39" spans="1:6">
      <c r="A39" s="2" t="s">
        <v>23</v>
      </c>
      <c r="B39" s="154"/>
      <c r="C39" s="154"/>
      <c r="D39" s="154"/>
      <c r="E39" s="154"/>
      <c r="F39" s="154"/>
    </row>
    <row r="40" spans="1:6" ht="21" customHeight="1">
      <c r="A40" s="3" t="s">
        <v>24</v>
      </c>
      <c r="B40" s="153">
        <f>B36-B38</f>
        <v>-1725</v>
      </c>
      <c r="C40" s="153">
        <f>C36-C38</f>
        <v>-2708</v>
      </c>
      <c r="D40" s="153">
        <f>D36-D38</f>
        <v>-971</v>
      </c>
      <c r="E40" s="153">
        <f t="shared" ref="E40:F40" si="7">E36-E38</f>
        <v>-1080</v>
      </c>
      <c r="F40" s="153">
        <f t="shared" si="7"/>
        <v>-484</v>
      </c>
    </row>
    <row r="41" spans="1:6">
      <c r="A41" s="2" t="s">
        <v>25</v>
      </c>
      <c r="B41" s="154"/>
      <c r="C41" s="154"/>
      <c r="D41" s="154"/>
      <c r="E41" s="154"/>
      <c r="F41" s="154"/>
    </row>
    <row r="42" spans="1:6" ht="16.2">
      <c r="A42" s="3" t="s">
        <v>26</v>
      </c>
      <c r="B42" s="153">
        <f>B40+B41</f>
        <v>-1725</v>
      </c>
      <c r="C42" s="153">
        <f>C40+C41</f>
        <v>-2708</v>
      </c>
      <c r="D42" s="153">
        <f>D40+D41</f>
        <v>-971</v>
      </c>
      <c r="E42" s="153">
        <f t="shared" ref="E42:F42" si="8">E40+E41</f>
        <v>-1080</v>
      </c>
      <c r="F42" s="153">
        <f t="shared" si="8"/>
        <v>-484</v>
      </c>
    </row>
    <row r="43" spans="1:6">
      <c r="A43" s="3"/>
      <c r="B43" s="154"/>
      <c r="C43" s="154"/>
      <c r="D43" s="154"/>
      <c r="E43" s="154"/>
      <c r="F43" s="154"/>
    </row>
    <row r="44" spans="1:6">
      <c r="A44" s="2" t="s">
        <v>27</v>
      </c>
      <c r="B44" s="154">
        <v>0</v>
      </c>
      <c r="C44" s="154">
        <v>0</v>
      </c>
      <c r="D44" s="154">
        <v>0</v>
      </c>
      <c r="E44" s="154">
        <v>0</v>
      </c>
      <c r="F44" s="154">
        <v>0</v>
      </c>
    </row>
    <row r="45" spans="1:6">
      <c r="A45" s="2" t="s">
        <v>28</v>
      </c>
      <c r="B45" s="154">
        <v>0</v>
      </c>
      <c r="C45" s="154">
        <v>0</v>
      </c>
      <c r="D45" s="154">
        <v>0</v>
      </c>
      <c r="E45" s="154">
        <v>0</v>
      </c>
      <c r="F45" s="154">
        <v>0</v>
      </c>
    </row>
    <row r="46" spans="1:6">
      <c r="A46" s="2" t="s">
        <v>29</v>
      </c>
      <c r="B46" s="154">
        <v>0</v>
      </c>
      <c r="C46" s="154">
        <v>0</v>
      </c>
      <c r="D46" s="154">
        <v>0</v>
      </c>
      <c r="E46" s="154">
        <v>0</v>
      </c>
      <c r="F46" s="154">
        <v>0</v>
      </c>
    </row>
    <row r="47" spans="1:6" ht="15">
      <c r="A47" s="3" t="s">
        <v>30</v>
      </c>
      <c r="B47" s="22">
        <f>B33</f>
        <v>-1004</v>
      </c>
      <c r="C47" s="22">
        <f t="shared" ref="C47:F47" si="9">C33</f>
        <v>-2206</v>
      </c>
      <c r="D47" s="22">
        <f t="shared" si="9"/>
        <v>-746</v>
      </c>
      <c r="E47" s="22">
        <f t="shared" si="9"/>
        <v>-948</v>
      </c>
      <c r="F47" s="22">
        <f t="shared" si="9"/>
        <v>-374</v>
      </c>
    </row>
    <row r="48" spans="1:6" ht="15">
      <c r="A48" s="3"/>
      <c r="B48" s="22"/>
      <c r="C48" s="22"/>
      <c r="D48" s="22"/>
      <c r="E48" s="22"/>
      <c r="F48" s="22"/>
    </row>
    <row r="49" spans="1:6">
      <c r="A49" s="2" t="s">
        <v>31</v>
      </c>
      <c r="B49" s="154">
        <f>B47</f>
        <v>-1004</v>
      </c>
      <c r="C49" s="154">
        <f t="shared" ref="C49:F49" si="10">C47</f>
        <v>-2206</v>
      </c>
      <c r="D49" s="154">
        <f t="shared" si="10"/>
        <v>-746</v>
      </c>
      <c r="E49" s="154">
        <f t="shared" si="10"/>
        <v>-948</v>
      </c>
      <c r="F49" s="154">
        <f t="shared" si="10"/>
        <v>-374</v>
      </c>
    </row>
    <row r="50" spans="1:6">
      <c r="A50" s="2" t="s">
        <v>32</v>
      </c>
      <c r="B50" s="154">
        <f>B47</f>
        <v>-1004</v>
      </c>
      <c r="C50" s="154">
        <f t="shared" ref="C50:F50" si="11">C47</f>
        <v>-2206</v>
      </c>
      <c r="D50" s="154">
        <f t="shared" si="11"/>
        <v>-746</v>
      </c>
      <c r="E50" s="154">
        <f t="shared" si="11"/>
        <v>-948</v>
      </c>
      <c r="F50" s="154">
        <f t="shared" si="11"/>
        <v>-374</v>
      </c>
    </row>
    <row r="51" spans="1:6">
      <c r="A51" s="2" t="s">
        <v>33</v>
      </c>
      <c r="B51" s="154"/>
      <c r="C51" s="154"/>
      <c r="D51" s="154"/>
      <c r="E51" s="154"/>
      <c r="F51" s="154"/>
    </row>
    <row r="52" spans="1:6">
      <c r="A52" s="2" t="s">
        <v>212</v>
      </c>
      <c r="B52" s="154"/>
      <c r="C52" s="154"/>
      <c r="D52" s="154"/>
      <c r="E52" s="154"/>
      <c r="F52" s="154"/>
    </row>
    <row r="53" spans="1:6" ht="28.8">
      <c r="A53" s="2" t="s">
        <v>34</v>
      </c>
      <c r="B53" s="157"/>
      <c r="C53" s="157"/>
      <c r="D53" s="157"/>
      <c r="E53" s="154"/>
      <c r="F53" s="154"/>
    </row>
    <row r="54" spans="1:6">
      <c r="B54" s="149"/>
      <c r="C54" s="149"/>
      <c r="D54" s="149"/>
      <c r="E54" s="149"/>
      <c r="F54" s="149"/>
    </row>
    <row r="55" spans="1:6">
      <c r="B55" s="149"/>
      <c r="C55" s="149"/>
      <c r="D55" s="149"/>
      <c r="E55" s="149"/>
      <c r="F55" s="149"/>
    </row>
    <row r="56" spans="1:6">
      <c r="A56" s="2" t="s">
        <v>154</v>
      </c>
      <c r="B56" s="149"/>
      <c r="C56" s="149"/>
      <c r="D56" s="149"/>
      <c r="E56" s="149"/>
      <c r="F56" s="149"/>
    </row>
    <row r="57" spans="1:6">
      <c r="A57" s="37" t="s">
        <v>155</v>
      </c>
      <c r="B57" s="158">
        <v>-5.72</v>
      </c>
      <c r="C57" s="158">
        <v>-11.83</v>
      </c>
      <c r="D57" s="158">
        <v>-4.68</v>
      </c>
      <c r="E57" s="149"/>
      <c r="F57" s="149"/>
    </row>
    <row r="58" spans="1:6">
      <c r="A58" s="37" t="s">
        <v>156</v>
      </c>
      <c r="B58" s="158">
        <v>-5.72</v>
      </c>
      <c r="C58" s="158">
        <v>-11.83</v>
      </c>
      <c r="D58" s="158">
        <v>-4.68</v>
      </c>
      <c r="E58" s="149"/>
      <c r="F58" s="149"/>
    </row>
    <row r="59" spans="1:6">
      <c r="E59" s="55"/>
      <c r="F59" s="55"/>
    </row>
    <row r="60" spans="1:6">
      <c r="E60" s="55"/>
      <c r="F60" s="55"/>
    </row>
    <row r="61" spans="1:6">
      <c r="A61" s="3" t="s">
        <v>129</v>
      </c>
      <c r="B61" s="163">
        <f>B5</f>
        <v>43435</v>
      </c>
      <c r="C61" s="163">
        <f t="shared" ref="C61:F61" si="12">C5</f>
        <v>43070</v>
      </c>
      <c r="D61" s="163">
        <f t="shared" si="12"/>
        <v>42705</v>
      </c>
      <c r="E61" s="163">
        <f t="shared" si="12"/>
        <v>42339</v>
      </c>
      <c r="F61" s="163">
        <f t="shared" si="12"/>
        <v>41974</v>
      </c>
    </row>
    <row r="62" spans="1:6">
      <c r="A62" s="41" t="str">
        <f>A8</f>
        <v>Auto Sales</v>
      </c>
      <c r="B62" s="56">
        <f>B8/B$13</f>
        <v>0.82158333721634591</v>
      </c>
      <c r="C62" s="56">
        <f t="shared" ref="C62:F67" si="13">C8/C$13</f>
        <v>0.72582702610766225</v>
      </c>
      <c r="D62" s="56">
        <f t="shared" si="13"/>
        <v>0.79865675907402112</v>
      </c>
      <c r="E62" s="56">
        <f t="shared" si="13"/>
        <v>0.84824518042511121</v>
      </c>
      <c r="F62" s="56">
        <f t="shared" si="13"/>
        <v>0.89868667917448408</v>
      </c>
    </row>
    <row r="63" spans="1:6">
      <c r="A63" s="41" t="str">
        <f t="shared" ref="A63:A66" si="14">A9</f>
        <v>Auto Leases</v>
      </c>
      <c r="B63" s="56">
        <f t="shared" ref="B63:D63" si="15">B9/B$13</f>
        <v>4.1144401472438377E-2</v>
      </c>
      <c r="C63" s="56">
        <f t="shared" si="15"/>
        <v>9.4140658219236326E-2</v>
      </c>
      <c r="D63" s="56">
        <f t="shared" si="15"/>
        <v>0.10874535581594741</v>
      </c>
      <c r="E63" s="56">
        <f t="shared" si="13"/>
        <v>7.6371725160652493E-2</v>
      </c>
      <c r="F63" s="56">
        <f t="shared" si="13"/>
        <v>4.1588492808005001E-2</v>
      </c>
    </row>
    <row r="64" spans="1:6">
      <c r="A64" s="41" t="str">
        <f t="shared" si="14"/>
        <v>Total Auto</v>
      </c>
      <c r="B64" s="56">
        <f t="shared" ref="B64:D64" si="16">B10/B$13</f>
        <v>0.86272773868878427</v>
      </c>
      <c r="C64" s="56">
        <f t="shared" si="16"/>
        <v>0.81996768432689859</v>
      </c>
      <c r="D64" s="56">
        <f t="shared" si="16"/>
        <v>0.90740211488996858</v>
      </c>
      <c r="E64" s="56">
        <f t="shared" si="13"/>
        <v>0.9246169055857637</v>
      </c>
      <c r="F64" s="56">
        <f t="shared" si="13"/>
        <v>0.94027517198248911</v>
      </c>
    </row>
    <row r="65" spans="1:6">
      <c r="A65" s="41" t="str">
        <f t="shared" si="14"/>
        <v>Energy Generation and storage</v>
      </c>
      <c r="B65" s="56">
        <f t="shared" ref="B65:D65" si="17">B11/B$13</f>
        <v>7.2457015050556822E-2</v>
      </c>
      <c r="C65" s="56">
        <f t="shared" si="17"/>
        <v>9.4906029424270774E-2</v>
      </c>
      <c r="D65" s="56">
        <f t="shared" si="17"/>
        <v>2.5864532723635324E-2</v>
      </c>
      <c r="E65" s="56">
        <f t="shared" si="13"/>
        <v>3.4602076124567475E-3</v>
      </c>
      <c r="F65" s="56">
        <f t="shared" si="13"/>
        <v>1.2507817385866166E-3</v>
      </c>
    </row>
    <row r="66" spans="1:6">
      <c r="A66" s="41" t="str">
        <f t="shared" si="14"/>
        <v>Services &amp; other</v>
      </c>
      <c r="B66" s="56">
        <f t="shared" ref="B66:D66" si="18">B12/B$13</f>
        <v>6.4815246260658876E-2</v>
      </c>
      <c r="C66" s="56">
        <f t="shared" si="18"/>
        <v>8.5126286248830688E-2</v>
      </c>
      <c r="D66" s="56">
        <f t="shared" si="18"/>
        <v>6.6733352386396119E-2</v>
      </c>
      <c r="E66" s="56">
        <f t="shared" si="13"/>
        <v>7.1922886801779537E-2</v>
      </c>
      <c r="F66" s="56">
        <f t="shared" si="13"/>
        <v>5.847404627892433E-2</v>
      </c>
    </row>
    <row r="67" spans="1:6">
      <c r="A67" s="3" t="s">
        <v>7</v>
      </c>
      <c r="B67" s="161">
        <f>B13/B$13</f>
        <v>1</v>
      </c>
      <c r="C67" s="161">
        <f t="shared" ref="C67:D67" si="19">C13/C$13</f>
        <v>1</v>
      </c>
      <c r="D67" s="161">
        <f t="shared" si="19"/>
        <v>1</v>
      </c>
      <c r="E67" s="161">
        <f t="shared" si="13"/>
        <v>1</v>
      </c>
      <c r="F67" s="161">
        <f t="shared" si="13"/>
        <v>1</v>
      </c>
    </row>
    <row r="68" spans="1:6">
      <c r="A68" s="2" t="s">
        <v>8</v>
      </c>
      <c r="B68" s="159"/>
      <c r="C68" s="159"/>
      <c r="D68" s="159"/>
      <c r="E68" s="159"/>
      <c r="F68" s="159"/>
    </row>
    <row r="69" spans="1:6">
      <c r="A69" s="128" t="s">
        <v>9</v>
      </c>
      <c r="B69" s="159">
        <f>B15/B$13</f>
        <v>0.81165835701971012</v>
      </c>
      <c r="C69" s="159">
        <f>C15/C$13</f>
        <v>0.81086827111148907</v>
      </c>
      <c r="D69" s="159">
        <f>D15/D$13</f>
        <v>0.77150614461274647</v>
      </c>
      <c r="E69" s="159">
        <f>E15/E$13</f>
        <v>0.77162629757785473</v>
      </c>
      <c r="F69" s="159">
        <f>F15/F$13</f>
        <v>0.7238899312070044</v>
      </c>
    </row>
    <row r="70" spans="1:6">
      <c r="A70" s="41" t="str">
        <f t="shared" ref="A70:A74" si="20">A16</f>
        <v>Auto Sales</v>
      </c>
      <c r="B70" s="159">
        <f>B16/B8</f>
        <v>0.7762023593466425</v>
      </c>
      <c r="C70" s="159">
        <f t="shared" ref="C70:F74" si="21">C16/C8</f>
        <v>0.78781487990626831</v>
      </c>
      <c r="D70" s="159">
        <f t="shared" si="21"/>
        <v>0.76364286992306318</v>
      </c>
      <c r="E70" s="159">
        <f t="shared" si="21"/>
        <v>0.76923076923076927</v>
      </c>
      <c r="F70" s="159">
        <f t="shared" si="21"/>
        <v>0.71607515657620047</v>
      </c>
    </row>
    <row r="71" spans="1:6">
      <c r="A71" s="41" t="str">
        <f t="shared" si="20"/>
        <v>Auto Leases</v>
      </c>
      <c r="B71" s="159">
        <f t="shared" ref="B71:D71" si="22">B17/B9</f>
        <v>0.55266138165345413</v>
      </c>
      <c r="C71" s="159">
        <f t="shared" si="22"/>
        <v>0.63956639566395668</v>
      </c>
      <c r="D71" s="159">
        <f t="shared" si="22"/>
        <v>0.63206307490144542</v>
      </c>
      <c r="E71" s="159">
        <f t="shared" si="21"/>
        <v>0.59223300970873782</v>
      </c>
      <c r="F71" s="159">
        <f t="shared" si="21"/>
        <v>0.65413533834586468</v>
      </c>
    </row>
    <row r="72" spans="1:6">
      <c r="A72" s="41" t="str">
        <f t="shared" si="20"/>
        <v>Total Auto</v>
      </c>
      <c r="B72" s="159">
        <f t="shared" ref="B72:D72" si="23">B18/B10</f>
        <v>0.76554145287604647</v>
      </c>
      <c r="C72" s="159">
        <f t="shared" si="23"/>
        <v>0.77079444098734706</v>
      </c>
      <c r="D72" s="159">
        <f t="shared" si="23"/>
        <v>0.74787401574803147</v>
      </c>
      <c r="E72" s="159">
        <f t="shared" si="21"/>
        <v>0.75461106655974342</v>
      </c>
      <c r="F72" s="159">
        <f t="shared" si="21"/>
        <v>0.71333555038244101</v>
      </c>
    </row>
    <row r="73" spans="1:6">
      <c r="A73" s="41" t="str">
        <f t="shared" si="20"/>
        <v>Energy Generation and storage</v>
      </c>
      <c r="B73" s="159">
        <f t="shared" ref="B73:D73" si="24">B19/B11</f>
        <v>0.87781350482315113</v>
      </c>
      <c r="C73" s="159">
        <f t="shared" si="24"/>
        <v>0.78315412186379929</v>
      </c>
      <c r="D73" s="159">
        <f t="shared" si="24"/>
        <v>0.98342541436464093</v>
      </c>
      <c r="E73" s="159">
        <f t="shared" si="21"/>
        <v>0.8571428571428571</v>
      </c>
      <c r="F73" s="159">
        <f t="shared" si="21"/>
        <v>1</v>
      </c>
    </row>
    <row r="74" spans="1:6">
      <c r="A74" s="41" t="str">
        <f t="shared" si="20"/>
        <v>Services &amp; other</v>
      </c>
      <c r="B74" s="159">
        <f t="shared" ref="B74:D74" si="25">B20/B12</f>
        <v>1.3515456506110712</v>
      </c>
      <c r="C74" s="159">
        <f t="shared" si="25"/>
        <v>1.2277722277722278</v>
      </c>
      <c r="D74" s="159">
        <f t="shared" si="25"/>
        <v>1.0107066381156318</v>
      </c>
      <c r="E74" s="159">
        <f t="shared" si="21"/>
        <v>0.9862542955326461</v>
      </c>
      <c r="F74" s="159">
        <f t="shared" si="21"/>
        <v>0.88770053475935828</v>
      </c>
    </row>
    <row r="75" spans="1:6">
      <c r="A75" s="128" t="s">
        <v>10</v>
      </c>
      <c r="B75" s="162">
        <f>B21/B$13</f>
        <v>0.18834164298028983</v>
      </c>
      <c r="C75" s="162">
        <f>C21/C$13</f>
        <v>0.18913172888851093</v>
      </c>
      <c r="D75" s="162">
        <f>D21/D$13</f>
        <v>0.2284938553872535</v>
      </c>
      <c r="E75" s="162">
        <f>E21/E$13</f>
        <v>0.22837370242214533</v>
      </c>
      <c r="F75" s="162">
        <f>F21/F$13</f>
        <v>0.2761100687929956</v>
      </c>
    </row>
    <row r="76" spans="1:6">
      <c r="A76" s="2"/>
      <c r="B76" s="159"/>
      <c r="C76" s="159"/>
      <c r="D76" s="159"/>
      <c r="E76" s="159"/>
      <c r="F76" s="159"/>
    </row>
    <row r="77" spans="1:6">
      <c r="A77" s="2" t="s">
        <v>11</v>
      </c>
      <c r="B77" s="159">
        <f t="shared" ref="B77:F78" si="26">B23/B$13</f>
        <v>6.8030380690554962E-2</v>
      </c>
      <c r="C77" s="159">
        <f t="shared" si="26"/>
        <v>0.1171868356152734</v>
      </c>
      <c r="D77" s="159">
        <f t="shared" si="26"/>
        <v>0.11917690768791084</v>
      </c>
      <c r="E77" s="159">
        <f t="shared" si="26"/>
        <v>0.17745921898171033</v>
      </c>
      <c r="F77" s="159">
        <f t="shared" si="26"/>
        <v>0.14540337711069418</v>
      </c>
    </row>
    <row r="78" spans="1:6">
      <c r="A78" s="2" t="s">
        <v>12</v>
      </c>
      <c r="B78" s="159">
        <f t="shared" si="26"/>
        <v>0.13205349238152927</v>
      </c>
      <c r="C78" s="159">
        <f t="shared" si="26"/>
        <v>0.2105621226294753</v>
      </c>
      <c r="D78" s="159">
        <f t="shared" si="26"/>
        <v>0.20462989425550157</v>
      </c>
      <c r="E78" s="159">
        <f t="shared" si="26"/>
        <v>0.22787938704893723</v>
      </c>
      <c r="F78" s="159">
        <f t="shared" si="26"/>
        <v>0.1888680425265791</v>
      </c>
    </row>
    <row r="79" spans="1:6">
      <c r="A79" s="3" t="s">
        <v>13</v>
      </c>
      <c r="B79" s="162">
        <f t="shared" ref="B79:B89" si="27">B26/B$13</f>
        <v>-1.8032710498112857E-2</v>
      </c>
      <c r="C79" s="162">
        <f t="shared" ref="C79:F89" si="28">C26/C$13</f>
        <v>-0.13861722935623777</v>
      </c>
      <c r="D79" s="162">
        <f t="shared" si="28"/>
        <v>-9.5312946556158906E-2</v>
      </c>
      <c r="E79" s="162">
        <f t="shared" si="28"/>
        <v>-0.17696490360850223</v>
      </c>
      <c r="F79" s="162">
        <f t="shared" si="28"/>
        <v>-5.8161350844277676E-2</v>
      </c>
    </row>
    <row r="80" spans="1:6">
      <c r="A80" s="3"/>
      <c r="B80" s="159"/>
      <c r="C80" s="159"/>
      <c r="D80" s="159"/>
      <c r="E80" s="159"/>
      <c r="F80" s="159"/>
    </row>
    <row r="81" spans="1:6">
      <c r="A81" s="2" t="s">
        <v>14</v>
      </c>
      <c r="B81" s="159">
        <f t="shared" si="27"/>
        <v>0</v>
      </c>
      <c r="C81" s="159">
        <f t="shared" si="28"/>
        <v>0</v>
      </c>
      <c r="D81" s="159">
        <f t="shared" si="28"/>
        <v>0</v>
      </c>
      <c r="E81" s="159">
        <f t="shared" si="28"/>
        <v>0</v>
      </c>
      <c r="F81" s="159">
        <f t="shared" si="28"/>
        <v>0</v>
      </c>
    </row>
    <row r="82" spans="1:6">
      <c r="A82" s="3" t="s">
        <v>15</v>
      </c>
      <c r="B82" s="159">
        <f t="shared" si="27"/>
        <v>-1.8032710498112857E-2</v>
      </c>
      <c r="C82" s="159">
        <f t="shared" si="28"/>
        <v>-0.13861722935623777</v>
      </c>
      <c r="D82" s="159">
        <f t="shared" si="28"/>
        <v>-9.5312946556158906E-2</v>
      </c>
      <c r="E82" s="159">
        <f t="shared" si="28"/>
        <v>-0.17696490360850223</v>
      </c>
      <c r="F82" s="159">
        <f t="shared" si="28"/>
        <v>-5.8161350844277676E-2</v>
      </c>
    </row>
    <row r="83" spans="1:6">
      <c r="A83" s="2" t="s">
        <v>16</v>
      </c>
      <c r="B83" s="159">
        <f t="shared" si="27"/>
        <v>-2.9774940589907272E-2</v>
      </c>
      <c r="C83" s="159">
        <f t="shared" si="28"/>
        <v>-3.8353601496725911E-2</v>
      </c>
      <c r="D83" s="159">
        <f t="shared" si="28"/>
        <v>-2.715061446127465E-2</v>
      </c>
      <c r="E83" s="159">
        <f t="shared" si="28"/>
        <v>-4.695996045477014E-2</v>
      </c>
      <c r="F83" s="159">
        <f t="shared" si="28"/>
        <v>-5.9412132582864291E-2</v>
      </c>
    </row>
    <row r="84" spans="1:6">
      <c r="A84" s="2" t="s">
        <v>17</v>
      </c>
      <c r="B84" s="159">
        <f t="shared" si="27"/>
        <v>1.0251153254741158E-3</v>
      </c>
      <c r="C84" s="159">
        <f t="shared" si="28"/>
        <v>-1.0630155625478357E-2</v>
      </c>
      <c r="D84" s="159">
        <f t="shared" si="28"/>
        <v>1.5861674764218348E-2</v>
      </c>
      <c r="E84" s="159">
        <f t="shared" si="28"/>
        <v>-1.0380622837370242E-2</v>
      </c>
      <c r="F84" s="159">
        <f t="shared" si="28"/>
        <v>6.2539086929330832E-4</v>
      </c>
    </row>
    <row r="85" spans="1:6">
      <c r="A85" s="2" t="s">
        <v>18</v>
      </c>
      <c r="B85" s="159">
        <f t="shared" si="27"/>
        <v>0</v>
      </c>
      <c r="C85" s="159">
        <f t="shared" si="28"/>
        <v>0</v>
      </c>
      <c r="D85" s="159">
        <f t="shared" si="28"/>
        <v>0</v>
      </c>
      <c r="E85" s="159">
        <f t="shared" si="28"/>
        <v>0</v>
      </c>
      <c r="F85" s="159">
        <f t="shared" si="28"/>
        <v>0</v>
      </c>
    </row>
    <row r="86" spans="1:6">
      <c r="A86" s="3" t="s">
        <v>19</v>
      </c>
      <c r="B86" s="162">
        <f t="shared" si="27"/>
        <v>-4.6782535762546013E-2</v>
      </c>
      <c r="C86" s="162">
        <f t="shared" si="28"/>
        <v>-0.18760098647844203</v>
      </c>
      <c r="D86" s="162">
        <f t="shared" si="28"/>
        <v>-0.10660188625321521</v>
      </c>
      <c r="E86" s="162">
        <f t="shared" si="28"/>
        <v>-0.23430548690064262</v>
      </c>
      <c r="F86" s="162">
        <f t="shared" si="28"/>
        <v>-0.11694809255784866</v>
      </c>
    </row>
    <row r="87" spans="1:6">
      <c r="A87" s="3"/>
      <c r="B87" s="159"/>
      <c r="C87" s="159"/>
      <c r="D87" s="159"/>
      <c r="E87" s="159"/>
      <c r="F87" s="159"/>
    </row>
    <row r="88" spans="1:6">
      <c r="A88" s="2" t="s">
        <v>20</v>
      </c>
      <c r="B88" s="159">
        <f t="shared" si="27"/>
        <v>3.089324821769722E-2</v>
      </c>
      <c r="C88" s="159">
        <f t="shared" si="28"/>
        <v>4.0054426396802449E-2</v>
      </c>
      <c r="D88" s="159">
        <f t="shared" si="28"/>
        <v>2.8436696198913976E-2</v>
      </c>
      <c r="E88" s="159">
        <f t="shared" si="28"/>
        <v>2.9411764705882353E-2</v>
      </c>
      <c r="F88" s="159">
        <f t="shared" si="28"/>
        <v>3.1582238899312068E-2</v>
      </c>
    </row>
    <row r="89" spans="1:6">
      <c r="A89" s="2" t="s">
        <v>21</v>
      </c>
      <c r="B89" s="159">
        <f t="shared" si="27"/>
        <v>-7.7675783980243232E-2</v>
      </c>
      <c r="C89" s="159">
        <f t="shared" si="28"/>
        <v>-0.22765541287524449</v>
      </c>
      <c r="D89" s="159">
        <f t="shared" si="28"/>
        <v>-0.13503858245212919</v>
      </c>
      <c r="E89" s="159">
        <f t="shared" si="28"/>
        <v>-0.26371725160652498</v>
      </c>
      <c r="F89" s="159">
        <f t="shared" si="28"/>
        <v>-0.14853033145716071</v>
      </c>
    </row>
    <row r="90" spans="1:6">
      <c r="A90" s="2" t="s">
        <v>22</v>
      </c>
      <c r="B90" s="159">
        <f t="shared" ref="B90:B92" si="29">B38/B$13</f>
        <v>2.7025767671590329E-3</v>
      </c>
      <c r="C90" s="159">
        <f t="shared" ref="C90:F92" si="30">C38/C$13</f>
        <v>2.6362785951186325E-3</v>
      </c>
      <c r="D90" s="159">
        <f t="shared" si="30"/>
        <v>3.7153472420691628E-3</v>
      </c>
      <c r="E90" s="159">
        <f t="shared" si="30"/>
        <v>3.2130499258526939E-3</v>
      </c>
      <c r="F90" s="159">
        <f t="shared" si="30"/>
        <v>2.8142589118198874E-3</v>
      </c>
    </row>
    <row r="91" spans="1:6">
      <c r="A91" s="2" t="s">
        <v>23</v>
      </c>
      <c r="B91" s="159">
        <f t="shared" si="29"/>
        <v>0</v>
      </c>
      <c r="C91" s="159">
        <f t="shared" si="30"/>
        <v>0</v>
      </c>
      <c r="D91" s="159">
        <f t="shared" si="30"/>
        <v>0</v>
      </c>
      <c r="E91" s="159">
        <f t="shared" si="30"/>
        <v>0</v>
      </c>
      <c r="F91" s="159">
        <f t="shared" si="30"/>
        <v>0</v>
      </c>
    </row>
    <row r="92" spans="1:6">
      <c r="A92" s="3" t="s">
        <v>24</v>
      </c>
      <c r="B92" s="162">
        <f t="shared" si="29"/>
        <v>-8.0378360747402261E-2</v>
      </c>
      <c r="C92" s="162">
        <f t="shared" si="30"/>
        <v>-0.23029169147036313</v>
      </c>
      <c r="D92" s="162">
        <f t="shared" si="30"/>
        <v>-0.13875392969419834</v>
      </c>
      <c r="E92" s="162">
        <f t="shared" si="30"/>
        <v>-0.26693030153237768</v>
      </c>
      <c r="F92" s="162">
        <f t="shared" si="30"/>
        <v>-0.15134459036898062</v>
      </c>
    </row>
    <row r="93" spans="1:6">
      <c r="A93" s="97"/>
      <c r="B93" s="162"/>
      <c r="C93" s="162"/>
      <c r="D93" s="162"/>
      <c r="E93" s="162"/>
      <c r="F93" s="162"/>
    </row>
    <row r="94" spans="1:6">
      <c r="A94" s="2" t="s">
        <v>25</v>
      </c>
      <c r="B94" s="159">
        <f t="shared" ref="B94:F95" si="31">B41/B$13</f>
        <v>0</v>
      </c>
      <c r="C94" s="159">
        <f t="shared" si="31"/>
        <v>0</v>
      </c>
      <c r="D94" s="159">
        <f t="shared" si="31"/>
        <v>0</v>
      </c>
      <c r="E94" s="159">
        <f t="shared" si="31"/>
        <v>0</v>
      </c>
      <c r="F94" s="159">
        <f t="shared" si="31"/>
        <v>0</v>
      </c>
    </row>
    <row r="95" spans="1:6">
      <c r="A95" s="3" t="s">
        <v>26</v>
      </c>
      <c r="B95" s="162">
        <f t="shared" si="31"/>
        <v>-8.0378360747402261E-2</v>
      </c>
      <c r="C95" s="162">
        <f t="shared" si="31"/>
        <v>-0.23029169147036313</v>
      </c>
      <c r="D95" s="162">
        <f t="shared" si="31"/>
        <v>-0.13875392969419834</v>
      </c>
      <c r="E95" s="162">
        <f t="shared" si="31"/>
        <v>-0.26693030153237768</v>
      </c>
      <c r="F95" s="162">
        <f t="shared" si="31"/>
        <v>-0.15134459036898062</v>
      </c>
    </row>
    <row r="96" spans="1:6">
      <c r="A96" s="3"/>
      <c r="B96" s="159"/>
      <c r="C96" s="159"/>
      <c r="D96" s="159"/>
      <c r="E96" s="159"/>
      <c r="F96" s="159"/>
    </row>
    <row r="97" spans="1:6">
      <c r="A97" s="2" t="s">
        <v>27</v>
      </c>
      <c r="B97" s="159">
        <f t="shared" ref="B97:F100" si="32">B44/B$13</f>
        <v>0</v>
      </c>
      <c r="C97" s="159">
        <f t="shared" si="32"/>
        <v>0</v>
      </c>
      <c r="D97" s="159">
        <f t="shared" si="32"/>
        <v>0</v>
      </c>
      <c r="E97" s="159">
        <f t="shared" si="32"/>
        <v>0</v>
      </c>
      <c r="F97" s="159">
        <f t="shared" si="32"/>
        <v>0</v>
      </c>
    </row>
    <row r="98" spans="1:6">
      <c r="A98" s="2" t="s">
        <v>28</v>
      </c>
      <c r="B98" s="159">
        <f t="shared" si="32"/>
        <v>0</v>
      </c>
      <c r="C98" s="159">
        <f t="shared" si="32"/>
        <v>0</v>
      </c>
      <c r="D98" s="159">
        <f t="shared" si="32"/>
        <v>0</v>
      </c>
      <c r="E98" s="159">
        <f t="shared" si="32"/>
        <v>0</v>
      </c>
      <c r="F98" s="159">
        <f t="shared" si="32"/>
        <v>0</v>
      </c>
    </row>
    <row r="99" spans="1:6">
      <c r="A99" s="2" t="s">
        <v>29</v>
      </c>
      <c r="B99" s="159">
        <f t="shared" si="32"/>
        <v>0</v>
      </c>
      <c r="C99" s="159">
        <f t="shared" si="32"/>
        <v>0</v>
      </c>
      <c r="D99" s="159">
        <f t="shared" si="32"/>
        <v>0</v>
      </c>
      <c r="E99" s="159">
        <f t="shared" si="32"/>
        <v>0</v>
      </c>
      <c r="F99" s="159">
        <f t="shared" si="32"/>
        <v>0</v>
      </c>
    </row>
    <row r="100" spans="1:6">
      <c r="A100" s="3" t="s">
        <v>30</v>
      </c>
      <c r="B100" s="151">
        <f t="shared" si="32"/>
        <v>-4.6782535762546013E-2</v>
      </c>
      <c r="C100" s="151">
        <f t="shared" si="32"/>
        <v>-0.18760098647844203</v>
      </c>
      <c r="D100" s="151">
        <f t="shared" si="32"/>
        <v>-0.10660188625321521</v>
      </c>
      <c r="E100" s="151">
        <f t="shared" si="32"/>
        <v>-0.23430548690064262</v>
      </c>
      <c r="F100" s="151">
        <f t="shared" si="32"/>
        <v>-0.11694809255784866</v>
      </c>
    </row>
    <row r="101" spans="1:6">
      <c r="A101" s="3"/>
      <c r="B101" s="159"/>
      <c r="C101" s="159"/>
      <c r="D101" s="159"/>
      <c r="E101" s="159"/>
      <c r="F101" s="159"/>
    </row>
    <row r="102" spans="1:6">
      <c r="A102" s="2" t="s">
        <v>31</v>
      </c>
      <c r="B102" s="159">
        <f t="shared" ref="B102:F104" si="33">B49/B$13</f>
        <v>-4.6782535762546013E-2</v>
      </c>
      <c r="C102" s="159">
        <f t="shared" si="33"/>
        <v>-0.18760098647844203</v>
      </c>
      <c r="D102" s="159">
        <f t="shared" si="33"/>
        <v>-0.10660188625321521</v>
      </c>
      <c r="E102" s="159">
        <f t="shared" si="33"/>
        <v>-0.23430548690064262</v>
      </c>
      <c r="F102" s="159">
        <f t="shared" si="33"/>
        <v>-0.11694809255784866</v>
      </c>
    </row>
    <row r="103" spans="1:6">
      <c r="A103" s="2" t="s">
        <v>32</v>
      </c>
      <c r="B103" s="159">
        <f t="shared" si="33"/>
        <v>-4.6782535762546013E-2</v>
      </c>
      <c r="C103" s="159">
        <f t="shared" si="33"/>
        <v>-0.18760098647844203</v>
      </c>
      <c r="D103" s="159">
        <f t="shared" si="33"/>
        <v>-0.10660188625321521</v>
      </c>
      <c r="E103" s="159">
        <f t="shared" si="33"/>
        <v>-0.23430548690064262</v>
      </c>
      <c r="F103" s="159">
        <f t="shared" si="33"/>
        <v>-0.11694809255784866</v>
      </c>
    </row>
    <row r="104" spans="1:6">
      <c r="A104" s="2" t="s">
        <v>33</v>
      </c>
      <c r="B104" s="159">
        <f t="shared" si="33"/>
        <v>0</v>
      </c>
      <c r="C104" s="159">
        <f t="shared" si="33"/>
        <v>0</v>
      </c>
      <c r="D104" s="159">
        <f t="shared" si="33"/>
        <v>0</v>
      </c>
      <c r="E104" s="159">
        <f t="shared" si="33"/>
        <v>0</v>
      </c>
      <c r="F104" s="159">
        <f t="shared" si="33"/>
        <v>0</v>
      </c>
    </row>
    <row r="105" spans="1:6" ht="28.8">
      <c r="A105" s="2" t="s">
        <v>34</v>
      </c>
      <c r="B105" s="159">
        <f t="shared" ref="B105:F105" si="34">B53/B$13</f>
        <v>0</v>
      </c>
      <c r="C105" s="159">
        <f t="shared" si="34"/>
        <v>0</v>
      </c>
      <c r="D105" s="159">
        <f t="shared" si="34"/>
        <v>0</v>
      </c>
      <c r="E105" s="159">
        <f t="shared" si="34"/>
        <v>0</v>
      </c>
      <c r="F105" s="159">
        <f t="shared" si="34"/>
        <v>0</v>
      </c>
    </row>
    <row r="106" spans="1:6">
      <c r="B106" s="160"/>
      <c r="C106" s="160"/>
      <c r="D106" s="160"/>
      <c r="E106" s="6"/>
    </row>
    <row r="107" spans="1:6">
      <c r="B107" s="160"/>
      <c r="C107" s="160"/>
      <c r="D107" s="160"/>
      <c r="E107" s="6"/>
    </row>
    <row r="108" spans="1:6">
      <c r="B108" s="160"/>
      <c r="C108" s="160"/>
      <c r="D108" s="160"/>
      <c r="E108" s="6"/>
    </row>
    <row r="109" spans="1:6">
      <c r="B109" s="160"/>
      <c r="C109" s="160"/>
      <c r="D109" s="160"/>
      <c r="E109" s="6"/>
    </row>
  </sheetData>
  <mergeCells count="2">
    <mergeCell ref="A1:E1"/>
    <mergeCell ref="A7:D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8"/>
  <sheetViews>
    <sheetView zoomScale="70" zoomScaleNormal="70" workbookViewId="0">
      <selection activeCell="B25" sqref="B25"/>
    </sheetView>
  </sheetViews>
  <sheetFormatPr defaultRowHeight="14.4"/>
  <cols>
    <col min="1" max="1" width="6.5546875" customWidth="1"/>
    <col min="2" max="2" width="45.5546875" customWidth="1"/>
    <col min="3" max="6" width="11.33203125" bestFit="1" customWidth="1"/>
  </cols>
  <sheetData>
    <row r="1" spans="1:7" ht="15.75" customHeight="1">
      <c r="A1" s="230" t="str">
        <f>Cover!A1</f>
        <v>TESLA, INC.</v>
      </c>
      <c r="B1" s="230"/>
      <c r="C1" s="230"/>
      <c r="D1" s="230"/>
      <c r="E1" s="230"/>
      <c r="F1" s="230"/>
      <c r="G1" s="230"/>
    </row>
    <row r="3" spans="1:7">
      <c r="A3" t="s">
        <v>2</v>
      </c>
    </row>
    <row r="5" spans="1:7">
      <c r="A5" s="17" t="s">
        <v>3</v>
      </c>
      <c r="B5" s="2"/>
      <c r="C5" s="152">
        <v>43435</v>
      </c>
      <c r="D5" s="152">
        <v>43070</v>
      </c>
      <c r="E5" s="152">
        <v>42705</v>
      </c>
      <c r="F5" s="152">
        <v>42339</v>
      </c>
    </row>
    <row r="6" spans="1:7">
      <c r="A6" s="17" t="s">
        <v>4</v>
      </c>
      <c r="B6" s="2"/>
      <c r="C6" s="3" t="s">
        <v>5</v>
      </c>
      <c r="D6" s="3" t="s">
        <v>5</v>
      </c>
      <c r="E6" s="3" t="s">
        <v>5</v>
      </c>
      <c r="F6" s="3" t="s">
        <v>5</v>
      </c>
    </row>
    <row r="7" spans="1:7">
      <c r="A7" s="237" t="s">
        <v>35</v>
      </c>
      <c r="B7" s="237"/>
      <c r="C7" s="237"/>
      <c r="D7" s="237"/>
      <c r="E7" s="237"/>
      <c r="F7" s="237"/>
    </row>
    <row r="8" spans="1:7">
      <c r="A8" s="237" t="s">
        <v>36</v>
      </c>
      <c r="B8" s="237"/>
      <c r="C8" s="237"/>
      <c r="D8" s="237"/>
      <c r="E8" s="237"/>
      <c r="F8" s="237"/>
    </row>
    <row r="9" spans="1:7">
      <c r="B9" s="2" t="s">
        <v>37</v>
      </c>
      <c r="C9" s="15">
        <v>3686</v>
      </c>
      <c r="D9" s="15">
        <v>3368</v>
      </c>
      <c r="E9" s="15">
        <v>3393</v>
      </c>
      <c r="F9" s="15">
        <v>1197</v>
      </c>
    </row>
    <row r="10" spans="1:7">
      <c r="B10" s="2" t="s">
        <v>38</v>
      </c>
      <c r="C10" s="15">
        <v>192</v>
      </c>
      <c r="D10" s="15">
        <v>155</v>
      </c>
      <c r="E10" s="15">
        <v>105</v>
      </c>
      <c r="F10" s="15">
        <v>23</v>
      </c>
    </row>
    <row r="11" spans="1:7">
      <c r="B11" s="2" t="s">
        <v>39</v>
      </c>
      <c r="C11" s="15">
        <v>949</v>
      </c>
      <c r="D11" s="15">
        <v>515</v>
      </c>
      <c r="E11" s="15">
        <v>499</v>
      </c>
      <c r="F11" s="15">
        <v>169</v>
      </c>
    </row>
    <row r="12" spans="1:7">
      <c r="B12" s="2" t="s">
        <v>40</v>
      </c>
      <c r="C12" s="15">
        <v>3113</v>
      </c>
      <c r="D12" s="15">
        <v>2263</v>
      </c>
      <c r="E12" s="15">
        <v>2067</v>
      </c>
      <c r="F12" s="15">
        <v>1278</v>
      </c>
    </row>
    <row r="13" spans="1:7" ht="16.2">
      <c r="B13" s="2" t="s">
        <v>41</v>
      </c>
      <c r="C13" s="10">
        <v>366</v>
      </c>
      <c r="D13" s="11">
        <v>268</v>
      </c>
      <c r="E13" s="11">
        <v>194</v>
      </c>
      <c r="F13" s="10">
        <v>116</v>
      </c>
    </row>
    <row r="14" spans="1:7" ht="15.6">
      <c r="A14" s="18" t="s">
        <v>42</v>
      </c>
      <c r="B14" s="2"/>
      <c r="C14" s="12">
        <f>SUM(C9:C13)</f>
        <v>8306</v>
      </c>
      <c r="D14" s="12">
        <f t="shared" ref="D14:F14" si="0">SUM(D9:D13)</f>
        <v>6569</v>
      </c>
      <c r="E14" s="12">
        <f t="shared" si="0"/>
        <v>6258</v>
      </c>
      <c r="F14" s="12">
        <f t="shared" si="0"/>
        <v>2783</v>
      </c>
    </row>
    <row r="15" spans="1:7">
      <c r="A15" s="237" t="s">
        <v>43</v>
      </c>
      <c r="B15" s="237"/>
      <c r="C15" s="237"/>
      <c r="D15" s="237"/>
      <c r="E15" s="237"/>
      <c r="F15" s="237"/>
    </row>
    <row r="16" spans="1:7">
      <c r="B16" s="2" t="s">
        <v>300</v>
      </c>
      <c r="C16" s="15">
        <v>2089</v>
      </c>
      <c r="D16" s="15">
        <v>4117</v>
      </c>
      <c r="E16" s="15">
        <v>3134</v>
      </c>
      <c r="F16" s="15">
        <v>1791</v>
      </c>
    </row>
    <row r="17" spans="1:12">
      <c r="B17" s="2" t="s">
        <v>301</v>
      </c>
      <c r="C17" s="15">
        <v>6271</v>
      </c>
      <c r="D17" s="15">
        <v>6347</v>
      </c>
      <c r="E17" s="15">
        <v>5919</v>
      </c>
      <c r="F17" s="15"/>
    </row>
    <row r="18" spans="1:12">
      <c r="B18" s="2" t="s">
        <v>302</v>
      </c>
      <c r="C18" s="15">
        <v>11330</v>
      </c>
      <c r="D18" s="15">
        <v>10027</v>
      </c>
      <c r="E18" s="15">
        <v>5982</v>
      </c>
      <c r="F18" s="15">
        <v>3403</v>
      </c>
    </row>
    <row r="19" spans="1:12">
      <c r="B19" s="2" t="s">
        <v>47</v>
      </c>
      <c r="C19" s="15">
        <v>282</v>
      </c>
      <c r="D19" s="15">
        <v>362</v>
      </c>
      <c r="E19" s="15">
        <v>376</v>
      </c>
      <c r="F19" s="15">
        <v>12</v>
      </c>
    </row>
    <row r="20" spans="1:12">
      <c r="B20" s="2" t="s">
        <v>309</v>
      </c>
      <c r="C20" s="15">
        <v>68</v>
      </c>
      <c r="D20" s="15">
        <v>60</v>
      </c>
      <c r="E20" s="15"/>
      <c r="F20" s="15"/>
    </row>
    <row r="21" spans="1:12">
      <c r="B21" s="2" t="s">
        <v>303</v>
      </c>
      <c r="C21" s="15">
        <v>398</v>
      </c>
      <c r="D21" s="15">
        <v>457</v>
      </c>
      <c r="E21" s="15">
        <v>268</v>
      </c>
      <c r="F21" s="15">
        <v>32</v>
      </c>
    </row>
    <row r="22" spans="1:12">
      <c r="B22" s="2" t="s">
        <v>48</v>
      </c>
      <c r="C22" s="15">
        <v>571</v>
      </c>
      <c r="D22" s="15">
        <v>442</v>
      </c>
      <c r="E22" s="15">
        <v>216</v>
      </c>
      <c r="F22" s="15">
        <v>47</v>
      </c>
    </row>
    <row r="23" spans="1:12" ht="16.2">
      <c r="B23" s="2" t="s">
        <v>49</v>
      </c>
      <c r="C23" s="10">
        <f>SUM(C16:C22)</f>
        <v>21009</v>
      </c>
      <c r="D23" s="10">
        <f t="shared" ref="D23:F23" si="1">SUM(D16:D22)</f>
        <v>21812</v>
      </c>
      <c r="E23" s="10">
        <f t="shared" si="1"/>
        <v>15895</v>
      </c>
      <c r="F23" s="10">
        <f t="shared" si="1"/>
        <v>5285</v>
      </c>
    </row>
    <row r="24" spans="1:12" ht="15.6">
      <c r="A24" s="18" t="s">
        <v>50</v>
      </c>
      <c r="B24" s="2"/>
      <c r="C24" s="12">
        <v>29739</v>
      </c>
      <c r="D24" s="12">
        <v>28655</v>
      </c>
      <c r="E24" s="12">
        <v>22664</v>
      </c>
      <c r="F24" s="12">
        <v>8067</v>
      </c>
    </row>
    <row r="25" spans="1:12" ht="15.6">
      <c r="A25" s="2"/>
      <c r="B25" s="2"/>
      <c r="C25" s="12"/>
      <c r="D25" s="12"/>
      <c r="E25" s="12"/>
      <c r="F25" s="12"/>
    </row>
    <row r="26" spans="1:12">
      <c r="A26" s="237" t="s">
        <v>51</v>
      </c>
      <c r="B26" s="237"/>
      <c r="C26" s="237"/>
      <c r="D26" s="237"/>
      <c r="E26" s="237"/>
      <c r="F26" s="237"/>
    </row>
    <row r="27" spans="1:12">
      <c r="B27" s="2" t="s">
        <v>52</v>
      </c>
      <c r="C27" s="15">
        <v>3404</v>
      </c>
      <c r="D27" s="15">
        <v>2390</v>
      </c>
      <c r="E27" s="15">
        <v>1860</v>
      </c>
      <c r="F27" s="15">
        <v>916</v>
      </c>
      <c r="H27" s="74"/>
      <c r="I27" s="74"/>
      <c r="J27" s="74"/>
      <c r="K27" s="74"/>
      <c r="L27" s="74"/>
    </row>
    <row r="28" spans="1:12">
      <c r="B28" t="s">
        <v>304</v>
      </c>
      <c r="C28" s="15">
        <v>2094</v>
      </c>
      <c r="D28" s="15">
        <v>1731</v>
      </c>
      <c r="E28" s="15">
        <v>1210</v>
      </c>
      <c r="F28" s="15">
        <v>423</v>
      </c>
    </row>
    <row r="29" spans="1:12">
      <c r="B29" s="2" t="s">
        <v>305</v>
      </c>
      <c r="C29" s="15">
        <v>631</v>
      </c>
      <c r="D29" s="15">
        <v>1015</v>
      </c>
      <c r="E29" s="15">
        <v>763</v>
      </c>
      <c r="F29" s="15">
        <v>424</v>
      </c>
      <c r="H29" s="74"/>
      <c r="I29" s="74"/>
      <c r="J29" s="74"/>
      <c r="K29" s="74"/>
    </row>
    <row r="30" spans="1:12">
      <c r="B30" s="2" t="s">
        <v>405</v>
      </c>
      <c r="C30" s="15">
        <v>503</v>
      </c>
      <c r="D30" s="15">
        <v>787</v>
      </c>
      <c r="E30" s="15">
        <v>180</v>
      </c>
      <c r="F30" s="15">
        <v>137</v>
      </c>
      <c r="H30" s="74"/>
      <c r="I30" s="74"/>
      <c r="J30" s="74"/>
      <c r="K30" s="74"/>
    </row>
    <row r="31" spans="1:12">
      <c r="B31" s="2" t="s">
        <v>306</v>
      </c>
      <c r="C31" s="15">
        <v>503</v>
      </c>
      <c r="D31" s="15">
        <v>787</v>
      </c>
      <c r="E31" s="15">
        <v>663</v>
      </c>
      <c r="F31" s="15">
        <v>283</v>
      </c>
      <c r="H31" s="74"/>
      <c r="I31" s="74"/>
      <c r="J31" s="74"/>
      <c r="K31" s="74"/>
    </row>
    <row r="32" spans="1:12">
      <c r="B32" s="2" t="s">
        <v>307</v>
      </c>
      <c r="C32" s="15">
        <v>793</v>
      </c>
      <c r="D32" s="15">
        <v>854</v>
      </c>
      <c r="E32" s="15">
        <v>984</v>
      </c>
      <c r="F32" s="15">
        <v>628</v>
      </c>
      <c r="H32" s="74"/>
      <c r="I32" s="74"/>
      <c r="J32" s="74"/>
      <c r="K32" s="74"/>
    </row>
    <row r="33" spans="1:11">
      <c r="B33" s="2" t="s">
        <v>53</v>
      </c>
      <c r="C33" s="15">
        <v>2568</v>
      </c>
      <c r="D33" s="15">
        <v>797</v>
      </c>
      <c r="E33" s="15">
        <v>166</v>
      </c>
      <c r="F33" s="15">
        <v>0</v>
      </c>
      <c r="H33" s="74"/>
      <c r="I33" s="74"/>
      <c r="J33" s="74"/>
      <c r="K33" s="74"/>
    </row>
    <row r="34" spans="1:11" ht="16.2">
      <c r="A34" s="18" t="s">
        <v>55</v>
      </c>
      <c r="C34" s="16">
        <f>SUM(C27:C33)</f>
        <v>10496</v>
      </c>
      <c r="D34" s="16">
        <f>SUM(D27:D33)</f>
        <v>8361</v>
      </c>
      <c r="E34" s="16">
        <f>SUM(E27:E33)</f>
        <v>5826</v>
      </c>
      <c r="F34" s="16">
        <f>SUM(F27:F33)</f>
        <v>2811</v>
      </c>
    </row>
    <row r="35" spans="1:11">
      <c r="A35" s="237" t="s">
        <v>56</v>
      </c>
      <c r="B35" s="237"/>
      <c r="C35" s="237"/>
      <c r="D35" s="237"/>
      <c r="E35" s="237"/>
      <c r="F35" s="237"/>
    </row>
    <row r="36" spans="1:11">
      <c r="B36" s="2" t="s">
        <v>57</v>
      </c>
      <c r="C36" s="15">
        <v>9404</v>
      </c>
      <c r="D36" s="15">
        <v>9418</v>
      </c>
      <c r="E36" s="15">
        <v>5970</v>
      </c>
      <c r="F36" s="15">
        <v>2021</v>
      </c>
    </row>
    <row r="37" spans="1:11">
      <c r="B37" s="2" t="s">
        <v>58</v>
      </c>
      <c r="C37" s="15">
        <v>990</v>
      </c>
      <c r="D37" s="15">
        <v>1177</v>
      </c>
      <c r="E37" s="15">
        <v>851</v>
      </c>
      <c r="F37" s="15">
        <v>446</v>
      </c>
    </row>
    <row r="38" spans="1:11">
      <c r="B38" s="2" t="s">
        <v>308</v>
      </c>
      <c r="C38" s="15">
        <v>329</v>
      </c>
      <c r="D38" s="15">
        <v>2309</v>
      </c>
      <c r="E38" s="15">
        <v>2210</v>
      </c>
      <c r="F38" s="15">
        <v>1293</v>
      </c>
    </row>
    <row r="39" spans="1:11">
      <c r="B39" s="2" t="s">
        <v>59</v>
      </c>
      <c r="C39" s="15">
        <v>2710</v>
      </c>
      <c r="D39" s="15">
        <v>2443</v>
      </c>
      <c r="E39" s="15">
        <v>1891</v>
      </c>
      <c r="F39" s="15">
        <v>365</v>
      </c>
    </row>
    <row r="40" spans="1:11" ht="15" customHeight="1">
      <c r="A40" s="18" t="s">
        <v>60</v>
      </c>
      <c r="C40" s="10">
        <f>C41-C34</f>
        <v>13433</v>
      </c>
      <c r="D40" s="10">
        <f>D41-D34</f>
        <v>15347</v>
      </c>
      <c r="E40" s="10">
        <f>E41-E34</f>
        <v>10922</v>
      </c>
      <c r="F40" s="10">
        <f>F41-F34</f>
        <v>4125</v>
      </c>
    </row>
    <row r="41" spans="1:11" ht="15.6">
      <c r="A41" s="18" t="s">
        <v>61</v>
      </c>
      <c r="B41" s="2"/>
      <c r="C41" s="12">
        <f>SUM(C34:C39)</f>
        <v>23929</v>
      </c>
      <c r="D41" s="12">
        <f>SUM(D34:D39)</f>
        <v>23708</v>
      </c>
      <c r="E41" s="12">
        <f>SUM(E34:E39)</f>
        <v>16748</v>
      </c>
      <c r="F41" s="12">
        <f>SUM(F34:F39)</f>
        <v>6936</v>
      </c>
    </row>
    <row r="42" spans="1:11">
      <c r="A42" s="3"/>
      <c r="B42" s="2"/>
      <c r="C42" s="2"/>
      <c r="D42" s="2"/>
      <c r="E42" s="2"/>
      <c r="F42" s="2"/>
    </row>
    <row r="43" spans="1:11">
      <c r="A43" s="237" t="s">
        <v>62</v>
      </c>
      <c r="B43" s="237"/>
      <c r="C43" s="237"/>
      <c r="D43" s="237"/>
      <c r="E43" s="237"/>
      <c r="F43" s="237"/>
    </row>
    <row r="44" spans="1:11">
      <c r="B44" s="2" t="s">
        <v>63</v>
      </c>
      <c r="C44" s="15"/>
      <c r="D44" s="15"/>
      <c r="E44" s="15"/>
      <c r="F44" s="15"/>
    </row>
    <row r="45" spans="1:11">
      <c r="B45" s="2" t="s">
        <v>64</v>
      </c>
      <c r="C45" s="15"/>
      <c r="D45" s="15"/>
      <c r="E45" s="15"/>
      <c r="F45" s="15"/>
    </row>
    <row r="46" spans="1:11">
      <c r="B46" s="2" t="s">
        <v>65</v>
      </c>
      <c r="C46" s="15"/>
      <c r="D46" s="15"/>
      <c r="E46" s="15"/>
      <c r="F46" s="15"/>
    </row>
    <row r="47" spans="1:11">
      <c r="B47" s="2" t="s">
        <v>66</v>
      </c>
      <c r="C47" s="15">
        <v>10250</v>
      </c>
      <c r="D47" s="15">
        <v>9178</v>
      </c>
      <c r="E47" s="15">
        <v>7773</v>
      </c>
      <c r="F47" s="15">
        <v>3409</v>
      </c>
    </row>
    <row r="48" spans="1:11">
      <c r="B48" s="2" t="s">
        <v>67</v>
      </c>
      <c r="C48" s="15"/>
      <c r="D48" s="15"/>
      <c r="E48" s="15"/>
      <c r="F48" s="15"/>
    </row>
    <row r="49" spans="1:6">
      <c r="B49" s="2" t="s">
        <v>68</v>
      </c>
      <c r="C49" s="15"/>
      <c r="D49" s="15"/>
      <c r="E49" s="15"/>
      <c r="F49" s="15"/>
    </row>
    <row r="50" spans="1:6">
      <c r="B50" s="2" t="s">
        <v>69</v>
      </c>
      <c r="C50" s="15"/>
      <c r="D50" s="15"/>
      <c r="E50" s="15"/>
      <c r="F50" s="15"/>
    </row>
    <row r="51" spans="1:6">
      <c r="B51" s="2" t="s">
        <v>70</v>
      </c>
      <c r="C51" s="15"/>
      <c r="D51" s="15"/>
      <c r="E51" s="15"/>
      <c r="F51" s="15"/>
    </row>
    <row r="52" spans="1:6">
      <c r="B52" s="2" t="s">
        <v>71</v>
      </c>
      <c r="C52" s="15"/>
      <c r="D52" s="15"/>
      <c r="E52" s="15"/>
      <c r="F52" s="15"/>
    </row>
    <row r="53" spans="1:6" ht="16.2">
      <c r="B53" s="2" t="s">
        <v>72</v>
      </c>
      <c r="C53" s="10">
        <f>4923+834</f>
        <v>5757</v>
      </c>
      <c r="D53" s="10">
        <v>5234</v>
      </c>
      <c r="E53" s="10">
        <v>4753</v>
      </c>
      <c r="F53" s="10">
        <v>1083</v>
      </c>
    </row>
    <row r="54" spans="1:6" ht="15.6">
      <c r="A54" s="18" t="s">
        <v>73</v>
      </c>
      <c r="B54" s="2"/>
      <c r="C54" s="12">
        <v>29739</v>
      </c>
      <c r="D54" s="12">
        <v>28655</v>
      </c>
      <c r="E54" s="12">
        <v>22664</v>
      </c>
      <c r="F54" s="12">
        <v>8067</v>
      </c>
    </row>
    <row r="55" spans="1:6">
      <c r="A55" s="4"/>
      <c r="B55" s="4"/>
    </row>
    <row r="56" spans="1:6" ht="61.8" customHeight="1">
      <c r="A56" s="4"/>
      <c r="B56" s="4"/>
    </row>
    <row r="57" spans="1:6">
      <c r="A57" s="4"/>
      <c r="B57" s="4"/>
    </row>
    <row r="58" spans="1:6">
      <c r="A58" s="237" t="s">
        <v>130</v>
      </c>
      <c r="B58" s="237"/>
      <c r="C58" s="237"/>
      <c r="D58" s="237"/>
      <c r="E58" s="237"/>
      <c r="F58" s="237"/>
    </row>
    <row r="59" spans="1:6">
      <c r="A59" s="17"/>
      <c r="B59" s="2"/>
      <c r="C59" s="163">
        <f>C5</f>
        <v>43435</v>
      </c>
      <c r="D59" s="163">
        <f t="shared" ref="D59:F59" si="2">D5</f>
        <v>43070</v>
      </c>
      <c r="E59" s="163">
        <f t="shared" si="2"/>
        <v>42705</v>
      </c>
      <c r="F59" s="163">
        <f t="shared" si="2"/>
        <v>42339</v>
      </c>
    </row>
    <row r="60" spans="1:6">
      <c r="A60" s="18" t="s">
        <v>36</v>
      </c>
      <c r="B60" s="18"/>
      <c r="C60" s="18"/>
      <c r="D60" s="18"/>
      <c r="E60" s="18"/>
      <c r="F60" s="18"/>
    </row>
    <row r="61" spans="1:6">
      <c r="A61" s="17"/>
      <c r="B61" s="2" t="s">
        <v>37</v>
      </c>
      <c r="C61" s="32">
        <f>C9/C$24</f>
        <v>0.12394498806281314</v>
      </c>
      <c r="D61" s="32">
        <f>D9/D$24</f>
        <v>0.11753620659570756</v>
      </c>
      <c r="E61" s="32">
        <f>E9/E$24</f>
        <v>0.14970878926932579</v>
      </c>
      <c r="F61" s="32">
        <f>F9/F$24</f>
        <v>0.14838229825213833</v>
      </c>
    </row>
    <row r="62" spans="1:6">
      <c r="A62" s="17"/>
      <c r="B62" s="2" t="s">
        <v>38</v>
      </c>
      <c r="C62" s="32"/>
      <c r="D62" s="32"/>
      <c r="E62" s="32"/>
      <c r="F62" s="32"/>
    </row>
    <row r="63" spans="1:6">
      <c r="A63" s="17"/>
      <c r="B63" s="2" t="s">
        <v>39</v>
      </c>
      <c r="C63" s="32">
        <f t="shared" ref="C63:F66" si="3">C11/C$24</f>
        <v>3.1910958673795356E-2</v>
      </c>
      <c r="D63" s="32">
        <f t="shared" si="3"/>
        <v>1.7972430640376898E-2</v>
      </c>
      <c r="E63" s="32">
        <f t="shared" si="3"/>
        <v>2.2017296152488527E-2</v>
      </c>
      <c r="F63" s="32">
        <f t="shared" si="3"/>
        <v>2.0949547539357877E-2</v>
      </c>
    </row>
    <row r="64" spans="1:6">
      <c r="A64" s="17"/>
      <c r="B64" s="2" t="s">
        <v>40</v>
      </c>
      <c r="C64" s="32">
        <f t="shared" si="3"/>
        <v>0.10467735969602206</v>
      </c>
      <c r="D64" s="32">
        <f t="shared" si="3"/>
        <v>7.8974001046937706E-2</v>
      </c>
      <c r="E64" s="32">
        <f t="shared" si="3"/>
        <v>9.1201906106600783E-2</v>
      </c>
      <c r="F64" s="32">
        <f t="shared" si="3"/>
        <v>0.15842320565265899</v>
      </c>
    </row>
    <row r="65" spans="1:6">
      <c r="A65" s="17"/>
      <c r="B65" s="2" t="s">
        <v>41</v>
      </c>
      <c r="C65" s="32">
        <f t="shared" si="3"/>
        <v>1.2307071522243519E-2</v>
      </c>
      <c r="D65" s="32">
        <f t="shared" si="3"/>
        <v>9.3526435177106963E-3</v>
      </c>
      <c r="E65" s="32">
        <f t="shared" si="3"/>
        <v>8.5598305683021528E-3</v>
      </c>
      <c r="F65" s="32">
        <f t="shared" si="3"/>
        <v>1.4379571092103633E-2</v>
      </c>
    </row>
    <row r="66" spans="1:6">
      <c r="A66" s="18" t="s">
        <v>42</v>
      </c>
      <c r="B66" s="17"/>
      <c r="C66" s="31">
        <f t="shared" si="3"/>
        <v>0.27929654662228048</v>
      </c>
      <c r="D66" s="31">
        <f t="shared" si="3"/>
        <v>0.22924445995463269</v>
      </c>
      <c r="E66" s="31">
        <f t="shared" si="3"/>
        <v>0.27612072008471583</v>
      </c>
      <c r="F66" s="31">
        <f t="shared" si="3"/>
        <v>0.34498574439072766</v>
      </c>
    </row>
    <row r="67" spans="1:6">
      <c r="A67" s="18" t="s">
        <v>43</v>
      </c>
      <c r="B67" s="18"/>
      <c r="C67" s="32"/>
      <c r="D67" s="32"/>
      <c r="E67" s="32"/>
      <c r="F67" s="32"/>
    </row>
    <row r="68" spans="1:6">
      <c r="A68" s="17"/>
      <c r="B68" s="144" t="str">
        <f>B16</f>
        <v>Operating lease vehicles, net</v>
      </c>
      <c r="C68" s="32">
        <f>C16/C$24</f>
        <v>7.0244460136521067E-2</v>
      </c>
      <c r="D68" s="32">
        <f>D16/D$24</f>
        <v>0.14367475135229454</v>
      </c>
      <c r="E68" s="32">
        <f>E16/E$24</f>
        <v>0.13828097423226263</v>
      </c>
      <c r="F68" s="32">
        <f>F16/F$24</f>
        <v>0.22201561918928969</v>
      </c>
    </row>
    <row r="69" spans="1:6">
      <c r="A69" s="17"/>
      <c r="B69" s="144" t="str">
        <f t="shared" ref="B69:B75" si="4">B17</f>
        <v>Solar energy systems, leased and to be leased, net</v>
      </c>
      <c r="C69" s="32">
        <f t="shared" ref="C69:D75" si="5">C17/C$24</f>
        <v>0.2108678839234675</v>
      </c>
      <c r="D69" s="32">
        <f t="shared" si="5"/>
        <v>0.22149712092130519</v>
      </c>
      <c r="E69" s="32">
        <f t="shared" ref="E69:F69" si="6">E17/E$24</f>
        <v>0.26116307800917754</v>
      </c>
      <c r="F69" s="32">
        <f t="shared" si="6"/>
        <v>0</v>
      </c>
    </row>
    <row r="70" spans="1:6">
      <c r="A70" s="17"/>
      <c r="B70" s="144" t="str">
        <f t="shared" si="4"/>
        <v>PPE</v>
      </c>
      <c r="C70" s="32">
        <f t="shared" si="5"/>
        <v>0.38098120313393186</v>
      </c>
      <c r="D70" s="32">
        <f t="shared" si="5"/>
        <v>0.34992147967195952</v>
      </c>
      <c r="E70" s="32">
        <f t="shared" ref="E70:F70" si="7">E18/E$24</f>
        <v>0.26394281680197668</v>
      </c>
      <c r="F70" s="32">
        <f t="shared" si="7"/>
        <v>0.42184207264162638</v>
      </c>
    </row>
    <row r="71" spans="1:6">
      <c r="A71" s="17"/>
      <c r="B71" s="144" t="str">
        <f t="shared" si="4"/>
        <v>Intangibles</v>
      </c>
      <c r="C71" s="32">
        <f t="shared" si="5"/>
        <v>9.4824977302532028E-3</v>
      </c>
      <c r="D71" s="32">
        <f t="shared" si="5"/>
        <v>1.263304833362415E-2</v>
      </c>
      <c r="E71" s="32">
        <f t="shared" ref="E71:F71" si="8">E19/E$24</f>
        <v>1.6590187080833037E-2</v>
      </c>
      <c r="F71" s="32">
        <f t="shared" si="8"/>
        <v>1.4875418371141688E-3</v>
      </c>
    </row>
    <row r="72" spans="1:6">
      <c r="A72" s="17"/>
      <c r="B72" s="144" t="str">
        <f t="shared" si="4"/>
        <v>Goodwill</v>
      </c>
      <c r="C72" s="32">
        <f t="shared" si="5"/>
        <v>2.2865597363731127E-3</v>
      </c>
      <c r="D72" s="32">
        <f t="shared" si="5"/>
        <v>2.0938754144128424E-3</v>
      </c>
      <c r="E72" s="32">
        <f t="shared" ref="E72:F72" si="9">E20/E$24</f>
        <v>0</v>
      </c>
      <c r="F72" s="32">
        <f t="shared" si="9"/>
        <v>0</v>
      </c>
    </row>
    <row r="73" spans="1:6">
      <c r="A73" s="17"/>
      <c r="B73" s="144" t="str">
        <f t="shared" si="4"/>
        <v>Restricted cash, net of current portion</v>
      </c>
      <c r="C73" s="32">
        <f t="shared" si="5"/>
        <v>1.3383099633477925E-2</v>
      </c>
      <c r="D73" s="32">
        <f t="shared" si="5"/>
        <v>1.5948351073111149E-2</v>
      </c>
      <c r="E73" s="32">
        <f t="shared" ref="E73:F73" si="10">E21/E$24</f>
        <v>1.1824920578891633E-2</v>
      </c>
      <c r="F73" s="32">
        <f t="shared" si="10"/>
        <v>3.9667782323044506E-3</v>
      </c>
    </row>
    <row r="74" spans="1:6">
      <c r="A74" s="17"/>
      <c r="B74" s="144" t="str">
        <f t="shared" si="4"/>
        <v>Other Non-Current Assets</v>
      </c>
      <c r="C74" s="32">
        <f t="shared" si="5"/>
        <v>1.9200376609838931E-2</v>
      </c>
      <c r="D74" s="32">
        <f t="shared" si="5"/>
        <v>1.5424882219507939E-2</v>
      </c>
      <c r="E74" s="32">
        <f t="shared" ref="E74:F74" si="11">E22/E$24</f>
        <v>9.5305330038828098E-3</v>
      </c>
      <c r="F74" s="32">
        <f t="shared" si="11"/>
        <v>5.8262055286971617E-3</v>
      </c>
    </row>
    <row r="75" spans="1:6">
      <c r="A75" s="17"/>
      <c r="B75" s="144" t="str">
        <f t="shared" si="4"/>
        <v>Total Non-Current Assets</v>
      </c>
      <c r="C75" s="32">
        <f t="shared" si="5"/>
        <v>0.70644608090386363</v>
      </c>
      <c r="D75" s="32">
        <f t="shared" si="5"/>
        <v>0.76119350898621529</v>
      </c>
      <c r="E75" s="32">
        <f t="shared" ref="E75:F75" si="12">E23/E$24</f>
        <v>0.70133250970702432</v>
      </c>
      <c r="F75" s="32">
        <f t="shared" si="12"/>
        <v>0.65513821742903189</v>
      </c>
    </row>
    <row r="76" spans="1:6">
      <c r="A76" s="18" t="s">
        <v>50</v>
      </c>
      <c r="B76" s="17"/>
      <c r="C76" s="31">
        <f>C24/C$24</f>
        <v>1</v>
      </c>
      <c r="D76" s="31">
        <f>D24/D$24</f>
        <v>1</v>
      </c>
      <c r="E76" s="31">
        <f>E24/E$24</f>
        <v>1</v>
      </c>
      <c r="F76" s="31">
        <f>F24/F$24</f>
        <v>1</v>
      </c>
    </row>
    <row r="77" spans="1:6" ht="15.6">
      <c r="A77" s="17"/>
      <c r="B77" s="17"/>
      <c r="C77" s="33"/>
      <c r="D77" s="33"/>
      <c r="E77" s="33"/>
      <c r="F77" s="33"/>
    </row>
    <row r="78" spans="1:6">
      <c r="A78" s="18" t="s">
        <v>51</v>
      </c>
      <c r="B78" s="18"/>
      <c r="C78" s="32"/>
      <c r="D78" s="32"/>
      <c r="E78" s="32"/>
      <c r="F78" s="32"/>
    </row>
    <row r="79" spans="1:6">
      <c r="A79" s="17"/>
      <c r="B79" s="144" t="str">
        <f t="shared" ref="B79:B85" si="13">B27</f>
        <v>Accounts Payable</v>
      </c>
      <c r="C79" s="32">
        <f>C27/C$54</f>
        <v>0.11446249033255994</v>
      </c>
      <c r="D79" s="32">
        <f t="shared" ref="D79:E79" si="14">D27/D$54</f>
        <v>8.3406037340778227E-2</v>
      </c>
      <c r="E79" s="32">
        <f t="shared" si="14"/>
        <v>8.2068478644546417E-2</v>
      </c>
      <c r="F79" s="32">
        <f t="shared" ref="F79" si="15">F27/F$54</f>
        <v>0.11354902689971488</v>
      </c>
    </row>
    <row r="80" spans="1:6">
      <c r="A80" s="17"/>
      <c r="B80" s="144" t="str">
        <f t="shared" si="13"/>
        <v>Accrued liabilities</v>
      </c>
      <c r="C80" s="32">
        <f t="shared" ref="C80:E80" si="16">C28/C$54</f>
        <v>7.0412589528901448E-2</v>
      </c>
      <c r="D80" s="32">
        <f t="shared" si="16"/>
        <v>6.0408305705810503E-2</v>
      </c>
      <c r="E80" s="32">
        <f t="shared" si="16"/>
        <v>5.3388633956936112E-2</v>
      </c>
      <c r="F80" s="32">
        <f t="shared" ref="F80" si="17">F28/F$54</f>
        <v>5.243584975827445E-2</v>
      </c>
    </row>
    <row r="81" spans="1:6">
      <c r="A81" s="17"/>
      <c r="B81" s="144" t="str">
        <f t="shared" si="13"/>
        <v>Deferred revenue</v>
      </c>
      <c r="C81" s="32">
        <f t="shared" ref="C81:E81" si="18">C29/C$54</f>
        <v>2.1217929318403442E-2</v>
      </c>
      <c r="D81" s="32">
        <f t="shared" si="18"/>
        <v>3.5421392427150582E-2</v>
      </c>
      <c r="E81" s="32">
        <f t="shared" si="18"/>
        <v>3.3665725379456404E-2</v>
      </c>
      <c r="F81" s="32">
        <f t="shared" ref="F81" si="19">F29/F$54</f>
        <v>5.2559811578033966E-2</v>
      </c>
    </row>
    <row r="82" spans="1:6">
      <c r="A82" s="17"/>
      <c r="B82" s="144" t="str">
        <f t="shared" si="13"/>
        <v>Resale Value Guarantees</v>
      </c>
      <c r="C82" s="32">
        <f t="shared" ref="C82:E82" si="20">C30/C$54</f>
        <v>1.6913816873465819E-2</v>
      </c>
      <c r="D82" s="32">
        <f t="shared" si="20"/>
        <v>2.7464665852381782E-2</v>
      </c>
      <c r="E82" s="32">
        <f t="shared" si="20"/>
        <v>7.9421108365690073E-3</v>
      </c>
      <c r="F82" s="32">
        <f t="shared" ref="F82" si="21">F30/F$54</f>
        <v>1.6982769307053426E-2</v>
      </c>
    </row>
    <row r="83" spans="1:6">
      <c r="A83" s="17"/>
      <c r="B83" s="144" t="str">
        <f t="shared" si="13"/>
        <v>Customer deposits</v>
      </c>
      <c r="C83" s="32">
        <f t="shared" ref="C83:E83" si="22">C31/C$54</f>
        <v>1.6913816873465819E-2</v>
      </c>
      <c r="D83" s="32">
        <f t="shared" si="22"/>
        <v>2.7464665852381782E-2</v>
      </c>
      <c r="E83" s="32">
        <f t="shared" si="22"/>
        <v>2.9253441581362512E-2</v>
      </c>
      <c r="F83" s="32">
        <f t="shared" ref="F83" si="23">F31/F$54</f>
        <v>3.5081194991942483E-2</v>
      </c>
    </row>
    <row r="84" spans="1:6">
      <c r="A84" s="17"/>
      <c r="B84" s="144" t="str">
        <f t="shared" si="13"/>
        <v>Current portion of long-term debt and capital leases</v>
      </c>
      <c r="C84" s="32">
        <f t="shared" ref="C84:E84" si="24">C32/C$54</f>
        <v>2.6665321631527624E-2</v>
      </c>
      <c r="D84" s="32">
        <f t="shared" si="24"/>
        <v>2.9802826731809458E-2</v>
      </c>
      <c r="E84" s="32">
        <f t="shared" si="24"/>
        <v>4.3416872573243913E-2</v>
      </c>
      <c r="F84" s="32">
        <f t="shared" ref="F84" si="25">F32/F$54</f>
        <v>7.7848022808974834E-2</v>
      </c>
    </row>
    <row r="85" spans="1:6">
      <c r="A85" s="17"/>
      <c r="B85" s="144" t="str">
        <f t="shared" si="13"/>
        <v>Short Term Debt</v>
      </c>
      <c r="C85" s="32">
        <f t="shared" ref="C85:E85" si="26">C33/C$54</f>
        <v>8.635125592656108E-2</v>
      </c>
      <c r="D85" s="32">
        <f t="shared" si="26"/>
        <v>2.7813645088117258E-2</v>
      </c>
      <c r="E85" s="32">
        <f t="shared" si="26"/>
        <v>7.3243911048358626E-3</v>
      </c>
      <c r="F85" s="32">
        <f t="shared" ref="F85" si="27">F33/F$54</f>
        <v>0</v>
      </c>
    </row>
    <row r="86" spans="1:6">
      <c r="A86" s="18" t="str">
        <f>A34</f>
        <v>Total Current Liabilities</v>
      </c>
      <c r="B86" s="144"/>
      <c r="C86" s="32"/>
      <c r="D86" s="32"/>
      <c r="E86" s="32"/>
      <c r="F86" s="32"/>
    </row>
    <row r="87" spans="1:6">
      <c r="A87" s="17"/>
      <c r="B87" s="17" t="s">
        <v>55</v>
      </c>
      <c r="C87" s="31">
        <f>C34/C$54</f>
        <v>0.35293722048488518</v>
      </c>
      <c r="D87" s="31">
        <f>D34/D$54</f>
        <v>0.29178153899842957</v>
      </c>
      <c r="E87" s="31">
        <f>E34/E$54</f>
        <v>0.25705965407695025</v>
      </c>
      <c r="F87" s="31">
        <f>F34/F$54</f>
        <v>0.34845667534399405</v>
      </c>
    </row>
    <row r="88" spans="1:6">
      <c r="A88" s="18" t="s">
        <v>56</v>
      </c>
      <c r="B88" s="18"/>
      <c r="C88" s="32"/>
      <c r="D88" s="32"/>
      <c r="E88" s="32"/>
      <c r="F88" s="32"/>
    </row>
    <row r="89" spans="1:6">
      <c r="A89" s="17"/>
      <c r="B89" s="17" t="str">
        <f>B36</f>
        <v>Long Term Debt</v>
      </c>
      <c r="C89" s="32">
        <f>C36/C$54</f>
        <v>0.31621776118901107</v>
      </c>
      <c r="D89" s="32">
        <f>D36/D$54</f>
        <v>0.32866864421566916</v>
      </c>
      <c r="E89" s="32">
        <f>E36/E$54</f>
        <v>0.26341334274620543</v>
      </c>
      <c r="F89" s="32">
        <f>F36/F$54</f>
        <v>0.25052683773397794</v>
      </c>
    </row>
    <row r="90" spans="1:6">
      <c r="A90" s="17"/>
      <c r="B90" s="17" t="str">
        <f t="shared" ref="B90:B92" si="28">B37</f>
        <v>Deferred Income Taxes</v>
      </c>
      <c r="C90" s="32">
        <f t="shared" ref="C90:C92" si="29">C37/C$54</f>
        <v>3.3289619691314436E-2</v>
      </c>
      <c r="D90" s="32">
        <f t="shared" ref="D90:E90" si="30">D37/D$54</f>
        <v>4.1074856046065263E-2</v>
      </c>
      <c r="E90" s="32">
        <f t="shared" si="30"/>
        <v>3.7548535121779032E-2</v>
      </c>
      <c r="F90" s="32">
        <f t="shared" ref="F90" si="31">F37/F$54</f>
        <v>5.5286971612743277E-2</v>
      </c>
    </row>
    <row r="91" spans="1:6">
      <c r="A91" s="17"/>
      <c r="B91" s="17" t="str">
        <f t="shared" si="28"/>
        <v>Resale value guarantees, net of current portion</v>
      </c>
      <c r="C91" s="32">
        <f t="shared" si="29"/>
        <v>1.1062914018628738E-2</v>
      </c>
      <c r="D91" s="32">
        <f t="shared" ref="D91:E91" si="32">D38/D$54</f>
        <v>8.057930553132088E-2</v>
      </c>
      <c r="E91" s="32">
        <f t="shared" si="32"/>
        <v>9.7511471937875044E-2</v>
      </c>
      <c r="F91" s="32">
        <f t="shared" ref="F91" si="33">F38/F$54</f>
        <v>0.16028263294905168</v>
      </c>
    </row>
    <row r="92" spans="1:6">
      <c r="A92" s="17"/>
      <c r="B92" s="17" t="str">
        <f t="shared" si="28"/>
        <v>Other Non-Current Liabilities</v>
      </c>
      <c r="C92" s="32">
        <f t="shared" si="29"/>
        <v>9.1126130670163757E-2</v>
      </c>
      <c r="D92" s="32">
        <f t="shared" ref="D92:E92" si="34">D39/D$54</f>
        <v>8.5255627290176231E-2</v>
      </c>
      <c r="E92" s="32">
        <f t="shared" si="34"/>
        <v>8.3436286621955527E-2</v>
      </c>
      <c r="F92" s="32">
        <f t="shared" ref="F92" si="35">F39/F$54</f>
        <v>4.5246064212222638E-2</v>
      </c>
    </row>
    <row r="93" spans="1:6">
      <c r="A93" s="17"/>
      <c r="B93" s="18" t="s">
        <v>60</v>
      </c>
      <c r="C93" s="31">
        <f t="shared" ref="C93" si="36">C40/C$54</f>
        <v>0.45169642556911799</v>
      </c>
      <c r="D93" s="31">
        <f t="shared" ref="D93:E93" si="37">D40/D$54</f>
        <v>0.5355784330832315</v>
      </c>
      <c r="E93" s="31">
        <f t="shared" si="37"/>
        <v>0.48190963642781504</v>
      </c>
      <c r="F93" s="31">
        <f t="shared" ref="F93" si="38">F40/F$54</f>
        <v>0.51134250650799551</v>
      </c>
    </row>
    <row r="94" spans="1:6">
      <c r="A94" s="18" t="s">
        <v>61</v>
      </c>
      <c r="B94" s="17"/>
      <c r="C94" s="31">
        <f t="shared" ref="C94" si="39">C41/C$54</f>
        <v>0.80463364605400312</v>
      </c>
      <c r="D94" s="31">
        <f t="shared" ref="D94:E94" si="40">D41/D$54</f>
        <v>0.82735997208166112</v>
      </c>
      <c r="E94" s="31">
        <f t="shared" si="40"/>
        <v>0.73896929050476523</v>
      </c>
      <c r="F94" s="31">
        <f t="shared" ref="F94" si="41">F41/F$54</f>
        <v>0.85979918185198956</v>
      </c>
    </row>
    <row r="95" spans="1:6">
      <c r="A95" s="18"/>
      <c r="B95" s="17"/>
      <c r="C95" s="32"/>
      <c r="D95" s="32"/>
      <c r="E95" s="32"/>
      <c r="F95" s="32"/>
    </row>
    <row r="96" spans="1:6">
      <c r="A96" s="18" t="s">
        <v>62</v>
      </c>
      <c r="B96" s="18"/>
      <c r="C96" s="32"/>
      <c r="D96" s="32"/>
      <c r="E96" s="32"/>
      <c r="F96" s="32"/>
    </row>
    <row r="97" spans="1:6">
      <c r="A97" s="17"/>
      <c r="B97" s="17" t="s">
        <v>63</v>
      </c>
      <c r="C97" s="32"/>
      <c r="D97" s="32"/>
      <c r="E97" s="32"/>
      <c r="F97" s="32"/>
    </row>
    <row r="98" spans="1:6">
      <c r="A98" s="17"/>
      <c r="B98" s="17" t="s">
        <v>64</v>
      </c>
      <c r="C98" s="32"/>
      <c r="D98" s="32"/>
      <c r="E98" s="32"/>
      <c r="F98" s="32"/>
    </row>
    <row r="99" spans="1:6">
      <c r="A99" s="17"/>
      <c r="B99" s="17" t="s">
        <v>65</v>
      </c>
      <c r="C99" s="32"/>
      <c r="D99" s="32"/>
      <c r="E99" s="32"/>
      <c r="F99" s="32"/>
    </row>
    <row r="100" spans="1:6">
      <c r="A100" s="17"/>
      <c r="B100" s="17" t="s">
        <v>66</v>
      </c>
      <c r="C100" s="32">
        <f t="shared" ref="C100:E100" si="42">C47/C$54</f>
        <v>0.34466525437977069</v>
      </c>
      <c r="D100" s="32">
        <f t="shared" si="42"/>
        <v>0.32029314255801777</v>
      </c>
      <c r="E100" s="32">
        <f t="shared" si="42"/>
        <v>0.34296681962583836</v>
      </c>
      <c r="F100" s="32">
        <f t="shared" ref="F100" si="43">F47/F$54</f>
        <v>0.42258584356018347</v>
      </c>
    </row>
    <row r="101" spans="1:6">
      <c r="A101" s="17"/>
      <c r="B101" s="17" t="s">
        <v>67</v>
      </c>
      <c r="C101" s="32"/>
      <c r="D101" s="32"/>
      <c r="E101" s="32"/>
      <c r="F101" s="32"/>
    </row>
    <row r="102" spans="1:6">
      <c r="A102" s="17"/>
      <c r="B102" s="17" t="s">
        <v>68</v>
      </c>
      <c r="C102" s="32"/>
      <c r="D102" s="32"/>
      <c r="E102" s="32"/>
      <c r="F102" s="32"/>
    </row>
    <row r="103" spans="1:6">
      <c r="A103" s="17"/>
      <c r="B103" s="17" t="s">
        <v>69</v>
      </c>
      <c r="C103" s="32"/>
      <c r="D103" s="32"/>
      <c r="E103" s="32"/>
      <c r="F103" s="32"/>
    </row>
    <row r="104" spans="1:6">
      <c r="A104" s="17"/>
      <c r="B104" s="17" t="s">
        <v>70</v>
      </c>
      <c r="C104" s="32"/>
      <c r="D104" s="32"/>
      <c r="E104" s="32"/>
      <c r="F104" s="32"/>
    </row>
    <row r="105" spans="1:6">
      <c r="A105" s="17"/>
      <c r="B105" s="17" t="s">
        <v>71</v>
      </c>
      <c r="C105" s="32"/>
      <c r="D105" s="32"/>
      <c r="E105" s="32"/>
      <c r="F105" s="32"/>
    </row>
    <row r="106" spans="1:6">
      <c r="A106" s="17"/>
      <c r="B106" s="17" t="s">
        <v>72</v>
      </c>
      <c r="C106" s="32">
        <f t="shared" ref="C106:E106" si="44">C53/C$54</f>
        <v>0.19358418238676486</v>
      </c>
      <c r="D106" s="32">
        <f t="shared" si="44"/>
        <v>0.18265573198394697</v>
      </c>
      <c r="E106" s="32">
        <f t="shared" si="44"/>
        <v>0.20971584892340275</v>
      </c>
      <c r="F106" s="32">
        <f t="shared" ref="F106" si="45">F53/F$54</f>
        <v>0.13425065079955373</v>
      </c>
    </row>
    <row r="107" spans="1:6">
      <c r="A107" s="18" t="s">
        <v>73</v>
      </c>
      <c r="B107" s="17"/>
      <c r="C107" s="31">
        <f>C54/C$54</f>
        <v>1</v>
      </c>
      <c r="D107" s="31">
        <f t="shared" ref="D107:E107" si="46">D54/D$54</f>
        <v>1</v>
      </c>
      <c r="E107" s="31">
        <f t="shared" si="46"/>
        <v>1</v>
      </c>
      <c r="F107" s="31">
        <f t="shared" ref="F107" si="47">F54/F$54</f>
        <v>1</v>
      </c>
    </row>
    <row r="108" spans="1:6">
      <c r="A108" s="17"/>
      <c r="B108" s="17"/>
      <c r="C108" s="17"/>
      <c r="D108" s="17"/>
      <c r="E108" s="17"/>
      <c r="F108" s="17"/>
    </row>
  </sheetData>
  <mergeCells count="8">
    <mergeCell ref="A35:F35"/>
    <mergeCell ref="A43:F43"/>
    <mergeCell ref="A58:F58"/>
    <mergeCell ref="A1:G1"/>
    <mergeCell ref="A7:F7"/>
    <mergeCell ref="A8:F8"/>
    <mergeCell ref="A15:F15"/>
    <mergeCell ref="A26:F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Cover</vt:lpstr>
      <vt:lpstr>Valuation</vt:lpstr>
      <vt:lpstr>Forecasts</vt:lpstr>
      <vt:lpstr>Key Ratios</vt:lpstr>
      <vt:lpstr>Bonds</vt:lpstr>
      <vt:lpstr>WACC</vt:lpstr>
      <vt:lpstr>Competitive Summary</vt:lpstr>
      <vt:lpstr>TSLA Income Statement</vt:lpstr>
      <vt:lpstr>TSLA Balance Sheet</vt:lpstr>
      <vt:lpstr>TSLA Cash Flow</vt:lpstr>
      <vt:lpstr>Valuation model examples</vt:lpstr>
      <vt:lpstr>'TSLA Cash Flow'!uss_cf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2019-05-23T19:02:18Z</dcterms:modified>
</cp:coreProperties>
</file>