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04.xml"/>
  <Override ContentType="application/vnd.openxmlformats-officedocument.drawingml.chart+xml" PartName="/xl/charts/chart43.xml"/>
  <Override ContentType="application/vnd.openxmlformats-officedocument.drawingml.chart+xml" PartName="/xl/charts/chart78.xml"/>
  <Override ContentType="application/vnd.openxmlformats-officedocument.drawingml.chart+xml" PartName="/xl/charts/chart35.xml"/>
  <Override ContentType="application/vnd.openxmlformats-officedocument.drawingml.chart+xml" PartName="/xl/charts/chart112.xml"/>
  <Override ContentType="application/vnd.openxmlformats-officedocument.drawingml.chart+xml" PartName="/xl/charts/chart61.xml"/>
  <Override ContentType="application/vnd.openxmlformats-officedocument.drawingml.chart+xml" PartName="/xl/charts/chart94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51.xml"/>
  <Override ContentType="application/vnd.openxmlformats-officedocument.drawingml.chart+xml" PartName="/xl/charts/chart86.xml"/>
  <Override ContentType="application/vnd.openxmlformats-officedocument.drawingml.chart+xml" PartName="/xl/charts/chart29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63.xml"/>
  <Override ContentType="application/vnd.openxmlformats-officedocument.drawingml.chart+xml" PartName="/xl/charts/chart76.xml"/>
  <Override ContentType="application/vnd.openxmlformats-officedocument.drawingml.chart+xml" PartName="/xl/charts/chart114.xml"/>
  <Override ContentType="application/vnd.openxmlformats-officedocument.drawingml.chart+xml" PartName="/xl/charts/chart58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102.xml"/>
  <Override ContentType="application/vnd.openxmlformats-officedocument.drawingml.chart+xml" PartName="/xl/charts/chart92.xml"/>
  <Override ContentType="application/vnd.openxmlformats-officedocument.drawingml.chart+xml" PartName="/xl/charts/chart5.xml"/>
  <Override ContentType="application/vnd.openxmlformats-officedocument.drawingml.chart+xml" PartName="/xl/charts/chart88.xml"/>
  <Override ContentType="application/vnd.openxmlformats-officedocument.drawingml.chart+xml" PartName="/xl/charts/chart57.xml"/>
  <Override ContentType="application/vnd.openxmlformats-officedocument.drawingml.chart+xml" PartName="/xl/charts/chart109.xml"/>
  <Override ContentType="application/vnd.openxmlformats-officedocument.drawingml.chart+xml" PartName="/xl/charts/chart14.xml"/>
  <Override ContentType="application/vnd.openxmlformats-officedocument.drawingml.chart+xml" PartName="/xl/charts/chart74.xml"/>
  <Override ContentType="application/vnd.openxmlformats-officedocument.drawingml.chart+xml" PartName="/xl/charts/chart31.xml"/>
  <Override ContentType="application/vnd.openxmlformats-officedocument.drawingml.chart+xml" PartName="/xl/charts/chart2.xml"/>
  <Override ContentType="application/vnd.openxmlformats-officedocument.drawingml.chart+xml" PartName="/xl/charts/chart47.xml"/>
  <Override ContentType="application/vnd.openxmlformats-officedocument.drawingml.chart+xml" PartName="/xl/charts/chart72.xml"/>
  <Override ContentType="application/vnd.openxmlformats-officedocument.drawingml.chart+xml" PartName="/xl/charts/chart91.xml"/>
  <Override ContentType="application/vnd.openxmlformats-officedocument.drawingml.chart+xml" PartName="/xl/charts/chart55.xml"/>
  <Override ContentType="application/vnd.openxmlformats-officedocument.drawingml.chart+xml" PartName="/xl/charts/chart81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38.xml"/>
  <Override ContentType="application/vnd.openxmlformats-officedocument.drawingml.chart+xml" PartName="/xl/charts/chart100.xml"/>
  <Override ContentType="application/vnd.openxmlformats-officedocument.drawingml.chart+xml" PartName="/xl/charts/chart98.xml"/>
  <Override ContentType="application/vnd.openxmlformats-officedocument.drawingml.chart+xml" PartName="/xl/charts/chart85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83.xml"/>
  <Override ContentType="application/vnd.openxmlformats-officedocument.drawingml.chart+xml" PartName="/xl/charts/chart111.xml"/>
  <Override ContentType="application/vnd.openxmlformats-officedocument.drawingml.chart+xml" PartName="/xl/charts/chart66.xml"/>
  <Override ContentType="application/vnd.openxmlformats-officedocument.drawingml.chart+xml" PartName="/xl/charts/chart70.xml"/>
  <Override ContentType="application/vnd.openxmlformats-officedocument.drawingml.chart+xml" PartName="/xl/charts/chart40.xml"/>
  <Override ContentType="application/vnd.openxmlformats-officedocument.drawingml.chart+xml" PartName="/xl/charts/chart96.xml"/>
  <Override ContentType="application/vnd.openxmlformats-officedocument.drawingml.chart+xml" PartName="/xl/charts/chart107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7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95.xml"/>
  <Override ContentType="application/vnd.openxmlformats-officedocument.drawingml.chart+xml" PartName="/xl/charts/chart44.xml"/>
  <Override ContentType="application/vnd.openxmlformats-officedocument.drawingml.chart+xml" PartName="/xl/charts/chart87.xml"/>
  <Override ContentType="application/vnd.openxmlformats-officedocument.drawingml.chart+xml" PartName="/xl/charts/chart103.xml"/>
  <Override ContentType="application/vnd.openxmlformats-officedocument.drawingml.chart+xml" PartName="/xl/charts/chart26.xml"/>
  <Override ContentType="application/vnd.openxmlformats-officedocument.drawingml.chart+xml" PartName="/xl/charts/chart77.xml"/>
  <Override ContentType="application/vnd.openxmlformats-officedocument.drawingml.chart+xml" PartName="/xl/charts/chart10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69.xml"/>
  <Override ContentType="application/vnd.openxmlformats-officedocument.drawingml.chart+xml" PartName="/xl/charts/chart42.xml"/>
  <Override ContentType="application/vnd.openxmlformats-officedocument.drawingml.chart+xml" PartName="/xl/charts/chart113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89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93.xml"/>
  <Override ContentType="application/vnd.openxmlformats-officedocument.drawingml.chart+xml" PartName="/xl/charts/chart101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80.xml"/>
  <Override ContentType="application/vnd.openxmlformats-officedocument.drawingml.chart+xml" PartName="/xl/charts/chart62.xml"/>
  <Override ContentType="application/vnd.openxmlformats-officedocument.drawingml.chart+xml" PartName="/xl/charts/chart32.xml"/>
  <Override ContentType="application/vnd.openxmlformats-officedocument.drawingml.chart+xml" PartName="/xl/charts/chart75.xml"/>
  <Override ContentType="application/vnd.openxmlformats-officedocument.drawingml.chart+xml" PartName="/xl/charts/chart65.xml"/>
  <Override ContentType="application/vnd.openxmlformats-officedocument.drawingml.chart+xml" PartName="/xl/charts/chart90.xml"/>
  <Override ContentType="application/vnd.openxmlformats-officedocument.drawingml.chart+xml" PartName="/xl/charts/chart82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2.xml"/>
  <Override ContentType="application/vnd.openxmlformats-officedocument.drawingml.chart+xml" PartName="/xl/charts/chart56.xml"/>
  <Override ContentType="application/vnd.openxmlformats-officedocument.drawingml.chart+xml" PartName="/xl/charts/chart108.xml"/>
  <Override ContentType="application/vnd.openxmlformats-officedocument.drawingml.chart+xml" PartName="/xl/charts/chart99.xml"/>
  <Override ContentType="application/vnd.openxmlformats-officedocument.drawingml.chart+xml" PartName="/xl/charts/chart73.xml"/>
  <Override ContentType="application/vnd.openxmlformats-officedocument.drawingml.chart+xml" PartName="/xl/charts/chart3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84.xml"/>
  <Override ContentType="application/vnd.openxmlformats-officedocument.drawingml.chart+xml" PartName="/xl/charts/chart71.xml"/>
  <Override ContentType="application/vnd.openxmlformats-officedocument.drawingml.chart+xml" PartName="/xl/charts/chart54.xml"/>
  <Override ContentType="application/vnd.openxmlformats-officedocument.drawingml.chart+xml" PartName="/xl/charts/chart97.xml"/>
  <Override ContentType="application/vnd.openxmlformats-officedocument.drawingml.chart+xml" PartName="/xl/charts/chart106.xml"/>
  <Override ContentType="application/vnd.openxmlformats-officedocument.drawingml.chart+xml" PartName="/xl/charts/chart37.xml"/>
  <Override ContentType="application/vnd.openxmlformats-officedocument.drawingml.chart+xml" PartName="/xl/charts/chart67.xml"/>
  <Override ContentType="application/vnd.openxmlformats-officedocument.drawingml.chart+xml" PartName="/xl/charts/chart11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Router DPDK Intel 82599 ES  - " sheetId="1" r:id="rId4"/>
    <sheet state="visible" name="vRouter DPDK Intel X710  - 2+2H" sheetId="2" r:id="rId5"/>
    <sheet state="visible" name="vRouter DPDK Intel XXV710  - 2+" sheetId="3" r:id="rId6"/>
    <sheet state="visible" name="82599ES vs x710 vs xxv710" sheetId="4" r:id="rId7"/>
    <sheet state="visible" name="varius descriptor size" sheetId="5" r:id="rId8"/>
    <sheet state="visible" name="various avg latency " sheetId="6" r:id="rId9"/>
    <sheet state="visible" name="vRouter DPDK Intel X710 version" sheetId="7" r:id="rId10"/>
    <sheet state="visible" name="Various cores" sheetId="8" r:id="rId11"/>
    <sheet state="visible" name="Various flows" sheetId="9" r:id="rId12"/>
    <sheet state="visible" name="VM on second NUMA" sheetId="10" r:id="rId13"/>
    <sheet state="visible" name="Huge Page 2M vs 1G" sheetId="11" r:id="rId14"/>
    <sheet state="visible" name="AMD various Cores" sheetId="12" r:id="rId15"/>
    <sheet state="visible" name="vRouter Kernel" sheetId="13" r:id="rId16"/>
    <sheet state="visible" name="HW spec" sheetId="14" r:id="rId17"/>
    <sheet state="visible" name="LACP bond vs no bond" sheetId="15" r:id="rId18"/>
    <sheet state="visible" name="Notes" sheetId="16" r:id="rId19"/>
    <sheet state="visible" name=" vRouter DPDK Intel XXV710" sheetId="17" r:id="rId20"/>
    <sheet state="visible" name="vRouter DPDK Mellanox xConnect " sheetId="18" r:id="rId21"/>
    <sheet state="visible" name="vRouter DPDK Intel X710" sheetId="19" r:id="rId22"/>
    <sheet state="visible" name="vRouter DPDK Intel 82599 ES" sheetId="20" r:id="rId23"/>
    <sheet state="visible" name="OVS vs vRouter (non)Multiqueue" sheetId="21" r:id="rId24"/>
  </sheets>
  <definedNames>
    <definedName hidden="1" localSheetId="5" name="Z_230557B4_23C6_47D9_9D80_8A56470363B9_.wvu.FilterData">'various avg latency '!$A$9:$AC$29</definedName>
  </definedNames>
  <calcPr/>
  <customWorkbookViews>
    <customWorkbookView activeSheetId="0" maximized="1" tabRatio="600" windowHeight="0" windowWidth="0" guid="{230557B4-23C6-47D9-9D80-8A56470363B9}" name="Filter 1"/>
  </customWorkbookViews>
</workbook>
</file>

<file path=xl/sharedStrings.xml><?xml version="1.0" encoding="utf-8"?>
<sst xmlns="http://schemas.openxmlformats.org/spreadsheetml/2006/main" count="959" uniqueCount="150">
  <si>
    <t>Version</t>
  </si>
  <si>
    <t>Configuration</t>
  </si>
  <si>
    <t>Number of Forwarding Cores</t>
  </si>
  <si>
    <t>2 + 2HT</t>
  </si>
  <si>
    <t>Drop rate</t>
  </si>
  <si>
    <t xml:space="preserve">NIC card </t>
  </si>
  <si>
    <t>Intel XXV710</t>
  </si>
  <si>
    <t>Bond</t>
  </si>
  <si>
    <t>2 x 10G Mode 4 (L3/L4)*</t>
  </si>
  <si>
    <t>Huge Page</t>
  </si>
  <si>
    <t>1G</t>
  </si>
  <si>
    <t>*25G not working due bug CEM-13470</t>
  </si>
  <si>
    <t>vRouter Mode</t>
  </si>
  <si>
    <t>Data</t>
  </si>
  <si>
    <t>Encapsulation</t>
  </si>
  <si>
    <t>Frame size [bytes]</t>
  </si>
  <si>
    <t>Packet Mode</t>
  </si>
  <si>
    <t>Total Throughput Gbps [TX+RX]</t>
  </si>
  <si>
    <t>MPLSoUDP</t>
  </si>
  <si>
    <t>MPLSoGRE</t>
  </si>
  <si>
    <t>Intel 82599 ES</t>
  </si>
  <si>
    <t>2 x 10G Mode 4 (L3/L4)</t>
  </si>
  <si>
    <t>VxLAN</t>
  </si>
  <si>
    <t>Throughput Gbps/core</t>
  </si>
  <si>
    <t>Packet size [bytes]</t>
  </si>
  <si>
    <t>Intel X710</t>
  </si>
  <si>
    <t>Total Mpps [TX+RX]</t>
  </si>
  <si>
    <t>Mpps/core</t>
  </si>
  <si>
    <t>Avg. Latency</t>
  </si>
  <si>
    <t>Flow Mode</t>
  </si>
  <si>
    <t>vr mempool size</t>
  </si>
  <si>
    <t>256k</t>
  </si>
  <si>
    <t>TestName</t>
  </si>
  <si>
    <t>Flows</t>
  </si>
  <si>
    <t>PacketSize</t>
  </si>
  <si>
    <t>Gbps</t>
  </si>
  <si>
    <t>Mpps</t>
  </si>
  <si>
    <t>AvgLatency</t>
  </si>
  <si>
    <t>MaxLatency</t>
  </si>
  <si>
    <t>PacketsDropped</t>
  </si>
  <si>
    <t>PacketDropRate</t>
  </si>
  <si>
    <t>128_ring_4096_various_flows_drop_rate_0001_MPLSoUDP_packet_mode_l3</t>
  </si>
  <si>
    <t>2048_ring_4096_various_flows_drop_rate_0001_MPLSoUDP_packet_mode_l3</t>
  </si>
  <si>
    <t>2048_ring_2048_various_flows_drop_rate_0001_MPLSoUDP_packet_mode_l3</t>
  </si>
  <si>
    <t>128_ring_1024_various_flows_drop_rate_0001_MPLSoUDP_packet_mode_l3</t>
  </si>
  <si>
    <t>1024_ring_2048_various_flows_drop_rate_0001_MPLSoUDP_packet_mode_l3</t>
  </si>
  <si>
    <t>128_ring_2048_various_flows_drop_rate_0001_MPLSoUDP_packet_mode_l3</t>
  </si>
  <si>
    <t>2048_ring_1024_various_flows_drop_rate_0001_MPLSoUDP_packet_mode_l3</t>
  </si>
  <si>
    <t>4096_ring_2048_various_flows_drop_rate_0001_MPLSoUDP_packet_mode_l3</t>
  </si>
  <si>
    <t>4096_ring_1024_various_flows_drop_rate_0001_MPLSoUDP_packet_mode_l3</t>
  </si>
  <si>
    <t>4096_ring_4096_various_flows_drop_rate_0001_MPLSoUDP_packet_mode_l3</t>
  </si>
  <si>
    <t>1024_ring_1024_various_flows_drop_rate_0001_MPLSoUDP_packet_mode_l3</t>
  </si>
  <si>
    <t>1024_ring_4096_various_flows_drop_rate_0001_MPLSoUDP_packet_mode_l3</t>
  </si>
  <si>
    <t>Legend</t>
  </si>
  <si>
    <t xml:space="preserve">1024_ring_2048 means:
dpdk_txd_sz - 1024
dpdk_rxd_sz - 1024
vr_dpdk_rx_ring_sz - 2048
vr_dpdk_rx_ring_sz - 2048
</t>
  </si>
  <si>
    <t>Intel 82599 ES, Intel X710, Intel XXV710</t>
  </si>
  <si>
    <t>4 + 4HT</t>
  </si>
  <si>
    <t>Intel 82599ES</t>
  </si>
  <si>
    <t>Testname</t>
  </si>
  <si>
    <t>test_various_packet_size_drop_rate_0001_lat_avg_100_MPLSoUDP_packet_mode_l3</t>
  </si>
  <si>
    <t>test_various_packet_size_drop_rate_0001_lat_avg_150_MPLSoUDP_packet_mode_l3</t>
  </si>
  <si>
    <t>test_various_packet_size_drop_rate_0001_lat_avg_200_MPLSoUDP_packet_mode_l3</t>
  </si>
  <si>
    <t>test_various_packet_size_drop_rate_0001_lat_avg_1000_MPLSoUDP_packet_mode_l3</t>
  </si>
  <si>
    <t>test_various_packet_size_drop_rate_0001_lat_avg_100_MPLSoUDP_flow_mode_l3</t>
  </si>
  <si>
    <t>test_various_packet_size_drop_rate_0001_lat_avg_150_MPLSoUDP_flow_mode_l3</t>
  </si>
  <si>
    <t>test_various_packet_size_drop_rate_0001_lat_avg_200_MPLSoUDP_flow_mode_l3</t>
  </si>
  <si>
    <t>test_various_packet_size_drop_rate_0001_lat_avg_1000_MPLSoUDP_flow_mode_l3</t>
  </si>
  <si>
    <t>Max avg latency</t>
  </si>
  <si>
    <t>Test purpose</t>
  </si>
  <si>
    <t>Check number flows impakt of performance</t>
  </si>
  <si>
    <t>Packet size</t>
  </si>
  <si>
    <t>64b</t>
  </si>
  <si>
    <t>Number of flows</t>
  </si>
  <si>
    <t>1k</t>
  </si>
  <si>
    <t>16k</t>
  </si>
  <si>
    <t>128k</t>
  </si>
  <si>
    <t>512k</t>
  </si>
  <si>
    <t>1M</t>
  </si>
  <si>
    <t>Check gain of using HT siblings of forwarding cores</t>
  </si>
  <si>
    <t xml:space="preserve">Number of flows </t>
  </si>
  <si>
    <t>Number Cores</t>
  </si>
  <si>
    <t>Total Throughput Gbps
TX+RX</t>
  </si>
  <si>
    <t>Total Mpps TX+RX</t>
  </si>
  <si>
    <t>1 + 1 HT</t>
  </si>
  <si>
    <t xml:space="preserve">
Check degradadion if VNF is on second NUMA
- vRouter and NICs on NUMA0
- VM on NUMA1</t>
  </si>
  <si>
    <t>2 + 2 HT</t>
  </si>
  <si>
    <t>3 + 3 HT</t>
  </si>
  <si>
    <t xml:space="preserve">VM placement </t>
  </si>
  <si>
    <t>4 + 4 HT</t>
  </si>
  <si>
    <t>NUMA 0</t>
  </si>
  <si>
    <t>NUMA 1</t>
  </si>
  <si>
    <t>6 + 6 HT</t>
  </si>
  <si>
    <t>2 + 0 HT</t>
  </si>
  <si>
    <t>3 + 0 HT</t>
  </si>
  <si>
    <t>4 + 0 HT</t>
  </si>
  <si>
    <t>6 + 0 HT</t>
  </si>
  <si>
    <t>Number of  Cores</t>
  </si>
  <si>
    <t>Packet mode</t>
  </si>
  <si>
    <t>NIC card</t>
  </si>
  <si>
    <t>Frame Size</t>
  </si>
  <si>
    <t>Total Throughput Gbps</t>
  </si>
  <si>
    <t>Total Mpps</t>
  </si>
  <si>
    <t>Compare performance of vRoute with 2M vs 1G Huge Pages</t>
  </si>
  <si>
    <t>Huge Page Size</t>
  </si>
  <si>
    <t># lscpu
Architecture:          x86_64
CPU op-mode(s):        32-bit, 64-bit
Byte Order:            Little Endian
CPU(s):                256
On-line CPU(s) list:   0-255
Thread(s) per core:    2
Core(s) per socket:    64
Socket(s):             2
NUMA node(s):          8
Vendor ID:             AuthenticAMD
CPU family:            23
Model:                 49
Model name:            AMD EPYC 7742 64-Core Processor
Stepping:              0
CPU MHz:               2250.000
CPU max MHz:           2250.0000
CPU min MHz:           1500.0000
BogoMIPS:              4491.54
Virtualization:        AMD-V
L1d cache:             32K
L1i cache:             32K
L2 cache:              512K
L3 cache:              16384K
NUMA node0 CPU(s):     0-15,128-143
NUMA node1 CPU(s):     16-31,144-159
NUMA node2 CPU(s):     32-47,160-175
NUMA node3 CPU(s):     48-63,176-191
NUMA node4 CPU(s):     64-79,192-207
NUMA node5 CPU(s):     80-95,208-223
NUMA node6 CPU(s):     96-111,224-239
NUMA node7 CPU(s):     112-127,240-255
#lspci | grep -i Eth
01:00.0 Ethernet controller: Intel Corporation Ethernet Controller X710 for 10GbE SFP+ (rev 01)
01:00.1 Ethernet controller: Intel Corporation Ethernet Controller X710 for 10GbE SFP+ (rev 01)
01:00.2 Ethernet controller: Intel Corporation Ethernet Controller X710 for 10GbE SFP+ (rev 01)
01:00.3 Ethernet controller: Intel Corporation Ethernet Controller X710 for 10GbE SFP+ (rev 01)
21:00.0 Ethernet controller: Mellanox Technologies MT27710 Family [ConnectX-4 Lx]
21:00.1 Ethernet controller: Mellanox Technologies MT27710 Family [ConnectX-4 Lx]</t>
  </si>
  <si>
    <t># grep ^CPU_LIST /etc/sysconfig/network-scripts/ifcfg-vhost0
CPU_LIST=2,4,6,30,32,34
# cat /proc/cmdline
BOOT_IMAGE=/boot/vmlinuz-3.10.0-1062.1.2.el7.x86_64 root=UUID=07ccf9fd-6946-4d2a-89ba-ff3c7668bd83 ro console=tty0 console=ttyS0,115200n8 crashkernel=auto rhgb quiet iommu=pt isolcpus=2-27,30-55 intel_iommu=on default_hugepagesz=1GB hugepagesz=1G hugepages=128 hugepagesz=2M hugepages=8192 skew_tick=1 nohz=on nohz_full=2-27,30-55 rcu_nocbs=2-27,30-55 tuned.non_isolcpus=30000003 intel_pstate=disable nosoftlockup
# grep ^isolated_cores /etc/tuned/cpu-partitioning-variables.conf
isolated_cores=2-27,30-55
# grep ^vcpu /var/lib/config-data/puppet-generated/nova_libvirt/etc/nova/nova.conf
vcpu_pin_set=12,14,16,18,20,22,24,26,34,36,38,40,42,44,46,48,50,52
# docker ps --filter name=contrail --format "{{.Image}}\t{{.Names}}"
192.168.213.1:8787/contrail-vrouter-agent-dpdk:1910.23-rhel-queens      contrail-vrouter-agent-dpdk
192.168.213.1:8787/contrail-vrouter-agent:1910.23-rhel-queens   contrail_vrouter_agent
192.168.213.1:8787/contrail-nodemgr:1910.23-rhel-queens contrail_vrouter_agent_nodemgr
# sed -e "s/\x00/ /g" /proc/$(pidof contrail-vrouter-dpdk)/cmdline
/usr/bin/contrail-vrouter-dpdk --no-daemon --vr_flow_entries=2000000 --vr_mempool_sz 131072 --dpdk_txd_sz 2048 --dpdk_rxd_sz 2048 --socket-mem 1024 1024 --vdev eth_bond_bond1,mode=4,xmit_policy=l34,socket_id=0,mac=e4:43:4b:6e:95:40,lacp_rate=0,slave=0000:19:00.0,slave=0000:19:00.1</t>
  </si>
  <si>
    <t>2M</t>
  </si>
  <si>
    <t>Bond Mode 4 (L3/L4)</t>
  </si>
  <si>
    <t>One interface no bond</t>
  </si>
  <si>
    <t>2 x 25G Mode 4 (L3/L4)</t>
  </si>
  <si>
    <t>Max. Latency</t>
  </si>
  <si>
    <t>NUMA awernes</t>
  </si>
  <si>
    <t>TCP</t>
  </si>
  <si>
    <t>various cores #</t>
  </si>
  <si>
    <t>HT vs non HT</t>
  </si>
  <si>
    <t>2M vs 1G HugePages</t>
  </si>
  <si>
    <t>various NICs card</t>
  </si>
  <si>
    <t>Bonding vs non Bonding</t>
  </si>
  <si>
    <t>all except NICs fix config (packed Mode x710)</t>
  </si>
  <si>
    <t>We must show haw we mesure and calculate pps for vRouter</t>
  </si>
  <si>
    <t>Add long term 0% lost</t>
  </si>
  <si>
    <t>Cores for 9 MPPS</t>
  </si>
  <si>
    <t>Test team</t>
  </si>
  <si>
    <t>Perf team</t>
  </si>
  <si>
    <t>MPPS per Core</t>
  </si>
  <si>
    <t>Percentage gain (MPPS)</t>
  </si>
  <si>
    <t>R1908</t>
  </si>
  <si>
    <t>Prototype (WIP)</t>
  </si>
  <si>
    <t>OVS-DPDK</t>
  </si>
  <si>
    <t>Prototype</t>
  </si>
  <si>
    <t>Mellanox xConnect 4</t>
  </si>
  <si>
    <t>Min. Latency</t>
  </si>
  <si>
    <t>Mellanox Connect-x5</t>
  </si>
  <si>
    <t>Validate performance of vROuter with AMD EPYC CPU</t>
  </si>
  <si>
    <t>2 x 100G Mode 4 (L3/L4)</t>
  </si>
  <si>
    <t>stack5</t>
  </si>
  <si>
    <t>CPU</t>
  </si>
  <si>
    <t>2 + 2 SMT</t>
  </si>
  <si>
    <t>4 + 4 SMT</t>
  </si>
  <si>
    <t>6 + 6 SMT</t>
  </si>
  <si>
    <t>8 + 8 SMT</t>
  </si>
  <si>
    <t>Throughput Gbps (Duplex)</t>
  </si>
  <si>
    <t>Compare performance of vRouter non multiqueue with OVS non multiqueue case</t>
  </si>
  <si>
    <t>non-multiqueue</t>
  </si>
  <si>
    <t>vRouter</t>
  </si>
  <si>
    <t>OVS</t>
  </si>
  <si>
    <t>100G_test_2+2_various_packet_size_drop_rate_0001_lat_avg_1000_MPLSoUDP_packet_mode_l3</t>
  </si>
  <si>
    <t>100G_test_4+4_various_packet_size_drop_rate_0001_lat_avg_1000_MPLSoUDP_packet_mode_l3</t>
  </si>
  <si>
    <t>100G_test_6+6_various_packet_size_drop_rate_0001_lat_avg_1000_MPLSoUDP_packet_mode_l3</t>
  </si>
  <si>
    <t>100G_test_8+8_various_packet_size_drop_rate_0001_lat_avg_1000_MPLSoUDP_packet_mode_l3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</si>
</sst>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%"/>
    <numFmt numFmtId="165" formatCode="0.000"/>
    <numFmt numFmtId="166" formatCode="0.000000"/>
    <numFmt numFmtId="167" formatCode="0.0000"/>
    <numFmt numFmtId="168" formatCode="0.0"/>
  </numFmts>
  <fonts count="11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sz val="12.0"/>
      <color theme="1"/>
      <name val="Arial"/>
    </font>
    <font>
      <sz val="12.0"/>
      <color rgb="FF000000"/>
      <name val="Roboto"/>
    </font>
    <font>
      <sz val="12.0"/>
      <color rgb="FF000000"/>
      <name val="Arial"/>
    </font>
    <font>
      <b/>
      <sz val="12.0"/>
      <color theme="1"/>
      <name val="Arial"/>
    </font>
    <font>
      <b/>
      <color rgb="FF000000"/>
      <name val="Arial"/>
    </font>
    <font>
      <color rgb="FF000000"/>
      <name val="Arial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5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1" numFmtId="2" xfId="0" applyFont="1" applyNumberFormat="1"/>
    <xf borderId="0" fillId="0" fontId="1" numFmtId="1" xfId="0" applyFont="1" applyNumberFormat="1"/>
    <xf borderId="1" fillId="3" fontId="1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right" readingOrder="0"/>
    </xf>
    <xf borderId="4" fillId="0" fontId="2" numFmtId="0" xfId="0" applyAlignment="1" applyBorder="1" applyFont="1">
      <alignment horizontal="center" readingOrder="0"/>
    </xf>
    <xf borderId="4" fillId="0" fontId="2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5" fillId="3" fontId="2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9" fillId="3" fontId="2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horizontal="center" readingOrder="0"/>
    </xf>
    <xf borderId="13" fillId="4" fontId="1" numFmtId="2" xfId="0" applyAlignment="1" applyBorder="1" applyFill="1" applyFont="1" applyNumberFormat="1">
      <alignment horizontal="center" readingOrder="0"/>
    </xf>
    <xf borderId="14" fillId="4" fontId="1" numFmtId="2" xfId="0" applyAlignment="1" applyBorder="1" applyFont="1" applyNumberForma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4" fillId="0" fontId="1" numFmtId="0" xfId="0" applyAlignment="1" applyBorder="1" applyFont="1">
      <alignment horizontal="center" readingOrder="0"/>
    </xf>
    <xf borderId="4" fillId="4" fontId="1" numFmtId="4" xfId="0" applyAlignment="1" applyBorder="1" applyFont="1" applyNumberFormat="1">
      <alignment horizontal="center" readingOrder="0"/>
    </xf>
    <xf borderId="13" fillId="0" fontId="3" numFmtId="0" xfId="0" applyBorder="1" applyFont="1"/>
    <xf borderId="15" fillId="4" fontId="1" numFmtId="4" xfId="0" applyAlignment="1" applyBorder="1" applyFont="1" applyNumberFormat="1">
      <alignment horizontal="center" readingOrder="0"/>
    </xf>
    <xf borderId="16" fillId="0" fontId="1" numFmtId="0" xfId="0" applyAlignment="1" applyBorder="1" applyFont="1">
      <alignment horizontal="center" readingOrder="0" vertical="center"/>
    </xf>
    <xf borderId="4" fillId="0" fontId="1" numFmtId="2" xfId="0" applyAlignment="1" applyBorder="1" applyFont="1" applyNumberFormat="1">
      <alignment horizontal="center" readingOrder="0"/>
    </xf>
    <xf borderId="4" fillId="4" fontId="1" numFmtId="2" xfId="0" applyAlignment="1" applyBorder="1" applyFont="1" applyNumberFormat="1">
      <alignment horizontal="center"/>
    </xf>
    <xf borderId="4" fillId="4" fontId="1" numFmtId="2" xfId="0" applyAlignment="1" applyBorder="1" applyFont="1" applyNumberFormat="1">
      <alignment horizontal="center" readingOrder="0"/>
    </xf>
    <xf borderId="15" fillId="4" fontId="1" numFmtId="2" xfId="0" applyAlignment="1" applyBorder="1" applyFont="1" applyNumberFormat="1">
      <alignment horizontal="center" readingOrder="0"/>
    </xf>
    <xf borderId="15" fillId="0" fontId="1" numFmtId="2" xfId="0" applyAlignment="1" applyBorder="1" applyFont="1" applyNumberFormat="1">
      <alignment horizontal="center" readingOrder="0"/>
    </xf>
    <xf borderId="4" fillId="4" fontId="1" numFmtId="1" xfId="0" applyAlignment="1" applyBorder="1" applyFont="1" applyNumberFormat="1">
      <alignment horizontal="center" readingOrder="0"/>
    </xf>
    <xf borderId="15" fillId="4" fontId="1" numFmtId="1" xfId="0" applyAlignment="1" applyBorder="1" applyFont="1" applyNumberFormat="1">
      <alignment horizontal="center" readingOrder="0"/>
    </xf>
    <xf borderId="17" fillId="0" fontId="3" numFmtId="0" xfId="0" applyBorder="1" applyFont="1"/>
    <xf borderId="18" fillId="0" fontId="3" numFmtId="0" xfId="0" applyBorder="1" applyFont="1"/>
    <xf borderId="19" fillId="0" fontId="1" numFmtId="0" xfId="0" applyAlignment="1" applyBorder="1" applyFont="1">
      <alignment horizontal="center" readingOrder="0"/>
    </xf>
    <xf borderId="19" fillId="4" fontId="1" numFmtId="1" xfId="0" applyAlignment="1" applyBorder="1" applyFont="1" applyNumberFormat="1">
      <alignment horizontal="center" readingOrder="0"/>
    </xf>
    <xf borderId="20" fillId="4" fontId="1" numFmtId="1" xfId="0" applyAlignment="1" applyBorder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5" fontId="5" numFmtId="0" xfId="0" applyAlignment="1" applyFill="1" applyFont="1">
      <alignment readingOrder="0"/>
    </xf>
    <xf borderId="0" fillId="5" fontId="6" numFmtId="0" xfId="0" applyAlignment="1" applyFont="1">
      <alignment horizontal="left" readingOrder="0"/>
    </xf>
    <xf borderId="10" fillId="0" fontId="4" numFmtId="0" xfId="0" applyAlignment="1" applyBorder="1" applyFont="1">
      <alignment readingOrder="0"/>
    </xf>
    <xf borderId="10" fillId="5" fontId="5" numFmtId="0" xfId="0" applyAlignment="1" applyBorder="1" applyFont="1">
      <alignment readingOrder="0"/>
    </xf>
    <xf borderId="10" fillId="5" fontId="6" numFmtId="0" xfId="0" applyAlignment="1" applyBorder="1" applyFont="1">
      <alignment horizontal="left" readingOrder="0"/>
    </xf>
    <xf borderId="10" fillId="0" fontId="4" numFmtId="165" xfId="0" applyAlignment="1" applyBorder="1" applyFont="1" applyNumberFormat="1">
      <alignment readingOrder="0"/>
    </xf>
    <xf borderId="10" fillId="0" fontId="7" numFmtId="165" xfId="0" applyAlignment="1" applyBorder="1" applyFont="1" applyNumberFormat="1">
      <alignment readingOrder="0"/>
    </xf>
    <xf borderId="10" fillId="0" fontId="4" numFmtId="166" xfId="0" applyAlignment="1" applyBorder="1" applyFont="1" applyNumberFormat="1">
      <alignment readingOrder="0"/>
    </xf>
    <xf borderId="5" fillId="3" fontId="8" numFmtId="0" xfId="0" applyAlignment="1" applyBorder="1" applyFont="1">
      <alignment horizontal="center" readingOrder="0" shrinkToFit="0" vertical="center" wrapText="1"/>
    </xf>
    <xf borderId="21" fillId="3" fontId="8" numFmtId="0" xfId="0" applyAlignment="1" applyBorder="1" applyFont="1">
      <alignment horizontal="center" readingOrder="0" shrinkToFit="0" vertical="center" wrapText="1"/>
    </xf>
    <xf borderId="22" fillId="0" fontId="3" numFmtId="0" xfId="0" applyBorder="1" applyFont="1"/>
    <xf borderId="23" fillId="0" fontId="3" numFmtId="0" xfId="0" applyBorder="1" applyFont="1"/>
    <xf borderId="9" fillId="3" fontId="8" numFmtId="0" xfId="0" applyAlignment="1" applyBorder="1" applyFont="1">
      <alignment horizontal="center" readingOrder="0" shrinkToFit="0" vertical="center" wrapText="1"/>
    </xf>
    <xf borderId="24" fillId="3" fontId="8" numFmtId="0" xfId="0" applyAlignment="1" applyBorder="1" applyFont="1">
      <alignment horizontal="center" readingOrder="0" shrinkToFit="0" vertical="center" wrapText="1"/>
    </xf>
    <xf borderId="4" fillId="3" fontId="8" numFmtId="0" xfId="0" applyAlignment="1" applyBorder="1" applyFont="1">
      <alignment horizontal="center" readingOrder="0" shrinkToFit="0" vertical="center" wrapText="1"/>
    </xf>
    <xf borderId="15" fillId="3" fontId="8" numFmtId="0" xfId="0" applyAlignment="1" applyBorder="1" applyFont="1">
      <alignment horizontal="center" readingOrder="0" shrinkToFit="0" vertical="center" wrapText="1"/>
    </xf>
    <xf borderId="11" fillId="0" fontId="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readingOrder="0" vertical="center"/>
    </xf>
    <xf borderId="13" fillId="0" fontId="9" numFmtId="0" xfId="0" applyAlignment="1" applyBorder="1" applyFont="1">
      <alignment horizontal="center" readingOrder="0"/>
    </xf>
    <xf borderId="0" fillId="0" fontId="1" numFmtId="165" xfId="0" applyAlignment="1" applyFont="1" applyNumberFormat="1">
      <alignment readingOrder="0"/>
    </xf>
    <xf borderId="4" fillId="4" fontId="9" numFmtId="2" xfId="0" applyAlignment="1" applyBorder="1" applyFont="1" applyNumberFormat="1">
      <alignment horizontal="center" readingOrder="0"/>
    </xf>
    <xf borderId="0" fillId="0" fontId="1" numFmtId="167" xfId="0" applyAlignment="1" applyFont="1" applyNumberFormat="1">
      <alignment readingOrder="0"/>
    </xf>
    <xf borderId="1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15" fillId="4" fontId="9" numFmtId="2" xfId="0" applyAlignment="1" applyBorder="1" applyFont="1" applyNumberFormat="1">
      <alignment horizontal="center" readingOrder="0"/>
    </xf>
    <xf borderId="4" fillId="0" fontId="9" numFmtId="0" xfId="0" applyAlignment="1" applyBorder="1" applyFont="1">
      <alignment horizontal="center" readingOrder="0"/>
    </xf>
    <xf borderId="10" fillId="0" fontId="4" numFmtId="167" xfId="0" applyAlignment="1" applyBorder="1" applyFont="1" applyNumberFormat="1">
      <alignment readingOrder="0"/>
    </xf>
    <xf borderId="4" fillId="4" fontId="9" numFmtId="4" xfId="0" applyAlignment="1" applyBorder="1" applyFont="1" applyNumberFormat="1">
      <alignment horizontal="center" readingOrder="0"/>
    </xf>
    <xf borderId="19" fillId="0" fontId="1" numFmtId="0" xfId="0" applyAlignment="1" applyBorder="1" applyFont="1">
      <alignment horizontal="center" readingOrder="0" vertical="center"/>
    </xf>
    <xf borderId="15" fillId="4" fontId="9" numFmtId="4" xfId="0" applyAlignment="1" applyBorder="1" applyFont="1" applyNumberFormat="1">
      <alignment horizontal="center" readingOrder="0"/>
    </xf>
    <xf borderId="16" fillId="0" fontId="9" numFmtId="0" xfId="0" applyAlignment="1" applyBorder="1" applyFont="1">
      <alignment horizontal="center" readingOrder="0" vertical="center"/>
    </xf>
    <xf borderId="3" fillId="5" fontId="10" numFmtId="2" xfId="0" applyAlignment="1" applyBorder="1" applyFont="1" applyNumberFormat="1">
      <alignment horizontal="center"/>
    </xf>
    <xf borderId="4" fillId="5" fontId="10" numFmtId="2" xfId="0" applyAlignment="1" applyBorder="1" applyFont="1" applyNumberFormat="1">
      <alignment horizontal="center"/>
    </xf>
    <xf borderId="15" fillId="5" fontId="10" numFmtId="2" xfId="0" applyAlignment="1" applyBorder="1" applyFont="1" applyNumberFormat="1">
      <alignment horizontal="center"/>
    </xf>
    <xf borderId="4" fillId="4" fontId="9" numFmtId="2" xfId="0" applyAlignment="1" applyBorder="1" applyFont="1" applyNumberFormat="1">
      <alignment horizontal="center"/>
    </xf>
    <xf borderId="15" fillId="4" fontId="9" numFmtId="2" xfId="0" applyAlignment="1" applyBorder="1" applyFont="1" applyNumberFormat="1">
      <alignment horizontal="center"/>
    </xf>
    <xf borderId="10" fillId="0" fontId="4" numFmtId="1" xfId="0" applyAlignment="1" applyBorder="1" applyFont="1" applyNumberFormat="1">
      <alignment readingOrder="0"/>
    </xf>
    <xf borderId="4" fillId="4" fontId="9" numFmtId="1" xfId="0" applyAlignment="1" applyBorder="1" applyFont="1" applyNumberFormat="1">
      <alignment horizontal="center" readingOrder="0"/>
    </xf>
    <xf borderId="15" fillId="4" fontId="9" numFmtId="1" xfId="0" applyAlignment="1" applyBorder="1" applyFont="1" applyNumberFormat="1">
      <alignment horizontal="center" readingOrder="0"/>
    </xf>
    <xf borderId="19" fillId="0" fontId="9" numFmtId="0" xfId="0" applyAlignment="1" applyBorder="1" applyFont="1">
      <alignment horizontal="center" readingOrder="0"/>
    </xf>
    <xf borderId="19" fillId="4" fontId="9" numFmtId="1" xfId="0" applyAlignment="1" applyBorder="1" applyFont="1" applyNumberFormat="1">
      <alignment horizontal="center" readingOrder="0"/>
    </xf>
    <xf borderId="20" fillId="4" fontId="9" numFmtId="1" xfId="0" applyAlignment="1" applyBorder="1" applyFont="1" applyNumberFormat="1">
      <alignment horizontal="center" readingOrder="0"/>
    </xf>
    <xf borderId="25" fillId="0" fontId="9" numFmtId="0" xfId="0" applyAlignment="1" applyBorder="1" applyFont="1">
      <alignment horizontal="center" readingOrder="0" vertical="center"/>
    </xf>
    <xf borderId="26" fillId="0" fontId="9" numFmtId="0" xfId="0" applyAlignment="1" applyBorder="1" applyFont="1">
      <alignment horizontal="center" readingOrder="0" vertical="center"/>
    </xf>
    <xf borderId="27" fillId="0" fontId="9" numFmtId="0" xfId="0" applyAlignment="1" applyBorder="1" applyFont="1">
      <alignment horizontal="center" readingOrder="0"/>
    </xf>
    <xf borderId="27" fillId="4" fontId="9" numFmtId="2" xfId="0" applyAlignment="1" applyBorder="1" applyFont="1" applyNumberFormat="1">
      <alignment horizontal="center" readingOrder="0"/>
    </xf>
    <xf borderId="28" fillId="4" fontId="9" numFmtId="2" xfId="0" applyAlignment="1" applyBorder="1" applyFont="1" applyNumberFormat="1">
      <alignment horizontal="center" readingOrder="0"/>
    </xf>
    <xf borderId="0" fillId="0" fontId="1" numFmtId="165" xfId="0" applyFont="1" applyNumberFormat="1"/>
    <xf borderId="0" fillId="0" fontId="1" numFmtId="167" xfId="0" applyFont="1" applyNumberFormat="1"/>
    <xf borderId="13" fillId="4" fontId="9" numFmtId="2" xfId="0" applyAlignment="1" applyBorder="1" applyFont="1" applyNumberFormat="1">
      <alignment horizontal="center" readingOrder="0"/>
    </xf>
    <xf borderId="14" fillId="4" fontId="9" numFmtId="2" xfId="0" applyAlignment="1" applyBorder="1" applyFont="1" applyNumberFormat="1">
      <alignment horizontal="center" readingOrder="0"/>
    </xf>
    <xf borderId="29" fillId="0" fontId="1" numFmtId="2" xfId="0" applyAlignment="1" applyBorder="1" applyFont="1" applyNumberFormat="1">
      <alignment readingOrder="0" vertical="top"/>
    </xf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0" fillId="0" fontId="2" numFmtId="0" xfId="0" applyAlignment="1" applyFont="1">
      <alignment horizontal="center" readingOrder="0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6" fillId="5" fontId="1" numFmtId="0" xfId="0" applyAlignment="1" applyBorder="1" applyFont="1">
      <alignment horizontal="center" readingOrder="0" shrinkToFit="0" vertical="center" wrapText="1"/>
    </xf>
    <xf borderId="9" fillId="5" fontId="1" numFmtId="0" xfId="0" applyAlignment="1" applyBorder="1" applyFont="1">
      <alignment horizontal="center" readingOrder="0" shrinkToFit="0" vertical="center" wrapText="1"/>
    </xf>
    <xf borderId="10" fillId="5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11" fillId="5" fontId="1" numFmtId="0" xfId="0" applyAlignment="1" applyBorder="1" applyFont="1">
      <alignment horizontal="center" readingOrder="0" vertical="center"/>
    </xf>
    <xf borderId="4" fillId="5" fontId="1" numFmtId="0" xfId="0" applyAlignment="1" applyBorder="1" applyFont="1">
      <alignment horizontal="center" readingOrder="0"/>
    </xf>
    <xf borderId="4" fillId="5" fontId="1" numFmtId="2" xfId="0" applyAlignment="1" applyBorder="1" applyFont="1" applyNumberFormat="1">
      <alignment horizontal="center" readingOrder="0"/>
    </xf>
    <xf borderId="37" fillId="0" fontId="3" numFmtId="0" xfId="0" applyBorder="1" applyFont="1"/>
    <xf borderId="15" fillId="5" fontId="1" numFmtId="2" xfId="0" applyAlignment="1" applyBorder="1" applyFont="1" applyNumberFormat="1">
      <alignment horizontal="center" readingOrder="0"/>
    </xf>
    <xf borderId="38" fillId="5" fontId="1" numFmtId="0" xfId="0" applyAlignment="1" applyBorder="1" applyFont="1">
      <alignment horizontal="center" readingOrder="0" vertical="center"/>
    </xf>
    <xf borderId="3" fillId="4" fontId="9" numFmtId="1" xfId="0" applyAlignment="1" applyBorder="1" applyFont="1" applyNumberFormat="1">
      <alignment horizontal="center" readingOrder="0"/>
    </xf>
    <xf borderId="4" fillId="5" fontId="1" numFmtId="1" xfId="0" applyAlignment="1" applyBorder="1" applyFont="1" applyNumberFormat="1">
      <alignment horizontal="center" readingOrder="0"/>
    </xf>
    <xf borderId="15" fillId="5" fontId="1" numFmtId="1" xfId="0" applyAlignment="1" applyBorder="1" applyFont="1" applyNumberFormat="1">
      <alignment horizontal="center" readingOrder="0"/>
    </xf>
    <xf borderId="19" fillId="5" fontId="1" numFmtId="0" xfId="0" applyAlignment="1" applyBorder="1" applyFont="1">
      <alignment horizontal="center" readingOrder="0"/>
    </xf>
    <xf borderId="19" fillId="5" fontId="1" numFmtId="1" xfId="0" applyAlignment="1" applyBorder="1" applyFont="1" applyNumberFormat="1">
      <alignment horizontal="center" readingOrder="0"/>
    </xf>
    <xf borderId="20" fillId="5" fontId="1" numFmtId="1" xfId="0" applyAlignment="1" applyBorder="1" applyFont="1" applyNumberFormat="1">
      <alignment horizontal="center" readingOrder="0"/>
    </xf>
    <xf borderId="4" fillId="0" fontId="2" numFmtId="2" xfId="0" applyAlignment="1" applyBorder="1" applyFont="1" applyNumberFormat="1">
      <alignment horizontal="center" readingOrder="0" shrinkToFit="0" wrapText="1"/>
    </xf>
    <xf borderId="4" fillId="0" fontId="2" numFmtId="2" xfId="0" applyAlignment="1" applyBorder="1" applyFont="1" applyNumberFormat="1">
      <alignment horizontal="center" readingOrder="0"/>
    </xf>
    <xf borderId="4" fillId="0" fontId="1" numFmtId="2" xfId="0" applyAlignment="1" applyBorder="1" applyFont="1" applyNumberFormat="1">
      <alignment horizontal="center"/>
    </xf>
    <xf borderId="16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4" fillId="0" fontId="1" numFmtId="1" xfId="0" applyAlignment="1" applyBorder="1" applyFont="1" applyNumberFormat="1">
      <alignment horizontal="center" readingOrder="0"/>
    </xf>
    <xf borderId="0" fillId="0" fontId="9" numFmtId="0" xfId="0" applyAlignment="1" applyFont="1">
      <alignment horizontal="center" readingOrder="0" vertical="center"/>
    </xf>
    <xf borderId="0" fillId="0" fontId="1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/>
    </xf>
    <xf borderId="4" fillId="3" fontId="2" numFmtId="0" xfId="0" applyAlignment="1" applyBorder="1" applyFont="1">
      <alignment horizontal="center" readingOrder="0"/>
    </xf>
    <xf borderId="16" fillId="6" fontId="1" numFmtId="0" xfId="0" applyAlignment="1" applyBorder="1" applyFill="1" applyFont="1">
      <alignment horizontal="center" readingOrder="0" vertical="center"/>
    </xf>
    <xf borderId="4" fillId="6" fontId="1" numFmtId="0" xfId="0" applyAlignment="1" applyBorder="1" applyFont="1">
      <alignment horizontal="center" readingOrder="0"/>
    </xf>
    <xf borderId="4" fillId="6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29" fillId="0" fontId="1" numFmtId="2" xfId="0" applyAlignment="1" applyBorder="1" applyFont="1" applyNumberFormat="1">
      <alignment readingOrder="0" shrinkToFit="0" vertical="top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3" fillId="0" fontId="1" numFmtId="2" xfId="0" applyAlignment="1" applyBorder="1" applyFont="1" applyNumberFormat="1">
      <alignment horizontal="center" readingOrder="0"/>
    </xf>
    <xf borderId="14" fillId="0" fontId="1" numFmtId="2" xfId="0" applyAlignment="1" applyBorder="1" applyFont="1" applyNumberFormat="1">
      <alignment horizontal="center" readingOrder="0"/>
    </xf>
    <xf borderId="4" fillId="3" fontId="2" numFmtId="0" xfId="0" applyAlignment="1" applyBorder="1" applyFont="1">
      <alignment horizontal="center" readingOrder="0" shrinkToFit="0" wrapText="1"/>
    </xf>
    <xf borderId="15" fillId="0" fontId="1" numFmtId="1" xfId="0" applyAlignment="1" applyBorder="1" applyFont="1" applyNumberFormat="1">
      <alignment horizontal="center" readingOrder="0"/>
    </xf>
    <xf borderId="4" fillId="5" fontId="8" numFmtId="0" xfId="0" applyAlignment="1" applyBorder="1" applyFont="1">
      <alignment horizontal="center" readingOrder="0"/>
    </xf>
    <xf borderId="39" fillId="3" fontId="2" numFmtId="0" xfId="0" applyAlignment="1" applyBorder="1" applyFont="1">
      <alignment horizontal="center" readingOrder="0" shrinkToFit="0" wrapText="1"/>
    </xf>
    <xf borderId="40" fillId="3" fontId="2" numFmtId="0" xfId="0" applyAlignment="1" applyBorder="1" applyFont="1">
      <alignment horizontal="center" readingOrder="0" shrinkToFit="0" wrapText="1"/>
    </xf>
    <xf borderId="41" fillId="3" fontId="2" numFmtId="0" xfId="0" applyAlignment="1" applyBorder="1" applyFont="1">
      <alignment horizontal="center" readingOrder="0" shrinkToFit="0" wrapText="1"/>
    </xf>
    <xf borderId="42" fillId="0" fontId="1" numFmtId="0" xfId="0" applyAlignment="1" applyBorder="1" applyFont="1">
      <alignment horizontal="center" readingOrder="0" vertical="center"/>
    </xf>
    <xf borderId="25" fillId="6" fontId="1" numFmtId="0" xfId="0" applyAlignment="1" applyBorder="1" applyFont="1">
      <alignment horizontal="center" readingOrder="0" vertical="center"/>
    </xf>
    <xf borderId="27" fillId="6" fontId="1" numFmtId="0" xfId="0" applyAlignment="1" applyBorder="1" applyFont="1">
      <alignment horizontal="center" readingOrder="0"/>
    </xf>
    <xf borderId="27" fillId="6" fontId="1" numFmtId="168" xfId="0" applyAlignment="1" applyBorder="1" applyFont="1" applyNumberFormat="1">
      <alignment horizontal="center" readingOrder="0"/>
    </xf>
    <xf borderId="27" fillId="6" fontId="1" numFmtId="0" xfId="0" applyAlignment="1" applyBorder="1" applyFont="1">
      <alignment horizontal="center"/>
    </xf>
    <xf borderId="28" fillId="6" fontId="1" numFmtId="0" xfId="0" applyAlignment="1" applyBorder="1" applyFont="1">
      <alignment horizontal="center" readingOrder="0"/>
    </xf>
    <xf borderId="42" fillId="0" fontId="3" numFmtId="0" xfId="0" applyBorder="1" applyFont="1"/>
    <xf borderId="4" fillId="6" fontId="1" numFmtId="168" xfId="0" applyAlignment="1" applyBorder="1" applyFont="1" applyNumberFormat="1">
      <alignment horizontal="center" readingOrder="0"/>
    </xf>
    <xf borderId="15" fillId="6" fontId="1" numFmtId="0" xfId="0" applyAlignment="1" applyBorder="1" applyFont="1">
      <alignment horizontal="center" readingOrder="0"/>
    </xf>
    <xf borderId="19" fillId="6" fontId="1" numFmtId="0" xfId="0" applyAlignment="1" applyBorder="1" applyFont="1">
      <alignment horizontal="center" readingOrder="0"/>
    </xf>
    <xf borderId="19" fillId="6" fontId="1" numFmtId="168" xfId="0" applyAlignment="1" applyBorder="1" applyFont="1" applyNumberFormat="1">
      <alignment horizontal="center" readingOrder="0"/>
    </xf>
    <xf borderId="19" fillId="6" fontId="1" numFmtId="0" xfId="0" applyAlignment="1" applyBorder="1" applyFont="1">
      <alignment horizontal="center"/>
    </xf>
    <xf borderId="20" fillId="6" fontId="1" numFmtId="0" xfId="0" applyAlignment="1" applyBorder="1" applyFont="1">
      <alignment horizontal="center" readingOrder="0"/>
    </xf>
    <xf borderId="25" fillId="0" fontId="1" numFmtId="0" xfId="0" applyAlignment="1" applyBorder="1" applyFont="1">
      <alignment horizontal="center" readingOrder="0" vertical="center"/>
    </xf>
    <xf borderId="27" fillId="0" fontId="1" numFmtId="0" xfId="0" applyAlignment="1" applyBorder="1" applyFont="1">
      <alignment horizontal="center" readingOrder="0"/>
    </xf>
    <xf borderId="27" fillId="0" fontId="1" numFmtId="0" xfId="0" applyAlignment="1" applyBorder="1" applyFont="1">
      <alignment horizontal="center"/>
    </xf>
    <xf borderId="28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19" fillId="0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/>
    </xf>
    <xf borderId="43" fillId="0" fontId="3" numFmtId="0" xfId="0" applyBorder="1" applyFont="1"/>
    <xf borderId="44" fillId="3" fontId="2" numFmtId="0" xfId="0" applyAlignment="1" applyBorder="1" applyFont="1">
      <alignment horizontal="center" readingOrder="0" shrinkToFit="0" vertical="center" wrapText="1"/>
    </xf>
    <xf borderId="45" fillId="3" fontId="2" numFmtId="0" xfId="0" applyAlignment="1" applyBorder="1" applyFont="1">
      <alignment horizontal="center" readingOrder="0" shrinkToFit="0" vertical="center" wrapText="1"/>
    </xf>
    <xf borderId="46" fillId="3" fontId="2" numFmtId="0" xfId="0" applyAlignment="1" applyBorder="1" applyFont="1">
      <alignment horizontal="center" readingOrder="0" shrinkToFit="0" vertical="center" wrapText="1"/>
    </xf>
    <xf borderId="47" fillId="0" fontId="3" numFmtId="0" xfId="0" applyBorder="1" applyFont="1"/>
    <xf borderId="48" fillId="0" fontId="3" numFmtId="0" xfId="0" applyBorder="1" applyFont="1"/>
    <xf borderId="49" fillId="0" fontId="3" numFmtId="0" xfId="0" applyBorder="1" applyFont="1"/>
    <xf borderId="25" fillId="3" fontId="2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/>
    </xf>
    <xf borderId="10" fillId="0" fontId="1" numFmtId="2" xfId="0" applyAlignment="1" applyBorder="1" applyFont="1" applyNumberFormat="1">
      <alignment horizontal="center" readingOrder="0"/>
    </xf>
    <xf borderId="10" fillId="0" fontId="1" numFmtId="2" xfId="0" applyAlignment="1" applyBorder="1" applyFont="1" applyNumberFormat="1">
      <alignment horizontal="center"/>
    </xf>
    <xf borderId="4" fillId="0" fontId="1" numFmtId="2" xfId="0" applyAlignment="1" applyBorder="1" applyFont="1" applyNumberFormat="1">
      <alignment horizontal="center" vertical="bottom"/>
    </xf>
    <xf borderId="3" fillId="0" fontId="1" numFmtId="2" xfId="0" applyAlignment="1" applyBorder="1" applyFont="1" applyNumberFormat="1">
      <alignment horizontal="center" vertical="bottom"/>
    </xf>
    <xf borderId="10" fillId="0" fontId="1" numFmtId="1" xfId="0" applyAlignment="1" applyBorder="1" applyFont="1" applyNumberFormat="1">
      <alignment horizontal="center" readingOrder="0"/>
    </xf>
    <xf borderId="0" fillId="0" fontId="1" numFmtId="167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82599 ES  - '!$D$21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82599 ES  - '!$E$11:$I$11</c:f>
            </c:strRef>
          </c:cat>
          <c:val>
            <c:numRef>
              <c:f>'vRouter DPDK Intel 82599 ES  - '!$E$21:$I$21</c:f>
            </c:numRef>
          </c:val>
        </c:ser>
        <c:ser>
          <c:idx val="1"/>
          <c:order val="1"/>
          <c:tx>
            <c:strRef>
              <c:f>'vRouter DPDK Intel 82599 ES  - '!$D$22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82599 ES  - '!$E$11:$I$11</c:f>
            </c:strRef>
          </c:cat>
          <c:val>
            <c:numRef>
              <c:f>'vRouter DPDK Intel 82599 ES  - '!$E$22:$I$22</c:f>
            </c:numRef>
          </c:val>
        </c:ser>
        <c:ser>
          <c:idx val="2"/>
          <c:order val="2"/>
          <c:tx>
            <c:strRef>
              <c:f>'vRouter DPDK Intel 82599 ES  - '!$D$23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82599 ES  - '!$E$11:$I$11</c:f>
            </c:strRef>
          </c:cat>
          <c:val>
            <c:numRef>
              <c:f>'vRouter DPDK Intel 82599 ES  - '!$E$23:$I$23</c:f>
            </c:numRef>
          </c:val>
        </c:ser>
        <c:axId val="809310378"/>
        <c:axId val="1930687995"/>
      </c:barChart>
      <c:catAx>
        <c:axId val="809310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687995"/>
      </c:catAx>
      <c:valAx>
        <c:axId val="1930687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9310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 - VxLAN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82599 ES  - '!$D$41</c:f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82599 ES  - '!$E$41:$I$41</c:f>
            </c:numRef>
          </c:val>
        </c:ser>
        <c:axId val="613734251"/>
        <c:axId val="680435194"/>
      </c:barChart>
      <c:catAx>
        <c:axId val="613734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435194"/>
      </c:catAx>
      <c:valAx>
        <c:axId val="680435194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734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Throughput Gbps [TX+RX] various core allocation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'AMD various Cores'!$D$17</c:f>
            </c:strRef>
          </c:tx>
          <c:spPr>
            <a:solidFill>
              <a:schemeClr val="accent1"/>
            </a:solidFill>
          </c:spPr>
          <c:cat>
            <c:strRef>
              <c:f>'AMD various Cores'!$E$16:$I$16</c:f>
            </c:strRef>
          </c:cat>
          <c:val>
            <c:numRef>
              <c:f>'AMD various Cores'!$E$17:$I$17</c:f>
            </c:numRef>
          </c:val>
        </c:ser>
        <c:ser>
          <c:idx val="1"/>
          <c:order val="1"/>
          <c:tx>
            <c:strRef>
              <c:f>'AMD various Cores'!$D$18</c:f>
            </c:strRef>
          </c:tx>
          <c:spPr>
            <a:solidFill>
              <a:schemeClr val="accent2"/>
            </a:solidFill>
          </c:spPr>
          <c:cat>
            <c:strRef>
              <c:f>'AMD various Cores'!$E$16:$I$16</c:f>
            </c:strRef>
          </c:cat>
          <c:val>
            <c:numRef>
              <c:f>'AMD various Cores'!$E$18:$I$18</c:f>
            </c:numRef>
          </c:val>
        </c:ser>
        <c:ser>
          <c:idx val="2"/>
          <c:order val="2"/>
          <c:tx>
            <c:strRef>
              <c:f>'AMD various Cores'!$D$18</c:f>
            </c:strRef>
          </c:tx>
          <c:spPr>
            <a:solidFill>
              <a:schemeClr val="accent3"/>
            </a:solidFill>
          </c:spPr>
          <c:cat>
            <c:strRef>
              <c:f>'AMD various Cores'!$E$16:$I$16</c:f>
            </c:strRef>
          </c:cat>
          <c:val>
            <c:numRef>
              <c:f>'AMD various Cores'!$E$18:$I$18</c:f>
            </c:numRef>
          </c:val>
        </c:ser>
        <c:ser>
          <c:idx val="3"/>
          <c:order val="3"/>
          <c:tx>
            <c:strRef>
              <c:f>'AMD various Cores'!$D$20</c:f>
            </c:strRef>
          </c:tx>
          <c:spPr>
            <a:solidFill>
              <a:schemeClr val="accent4"/>
            </a:solidFill>
          </c:spPr>
          <c:cat>
            <c:strRef>
              <c:f>'AMD various Cores'!$E$16:$I$16</c:f>
            </c:strRef>
          </c:cat>
          <c:val>
            <c:numRef>
              <c:f>'AMD various Cores'!$E$20:$I$20</c:f>
            </c:numRef>
          </c:val>
        </c:ser>
        <c:axId val="1557414565"/>
        <c:axId val="606429473"/>
      </c:barChart>
      <c:catAx>
        <c:axId val="1557414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429473"/>
      </c:catAx>
      <c:valAx>
        <c:axId val="606429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Total Throughput Gbps [TX+RX]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4145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Throughput Gbps [TX+RX]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'82599ES vs x710 vs xxv710'!$D$12</c:f>
            </c:strRef>
          </c:tx>
          <c:spPr>
            <a:solidFill>
              <a:schemeClr val="accent1"/>
            </a:solidFill>
          </c:spPr>
          <c:cat>
            <c:strRef>
              <c:f>'82599ES vs x710 vs xxv710'!$E$11:$I$11</c:f>
            </c:strRef>
          </c:cat>
          <c:val>
            <c:numRef>
              <c:f>'82599ES vs x710 vs xxv710'!$E$12:$I$12</c:f>
            </c:numRef>
          </c:val>
        </c:ser>
        <c:ser>
          <c:idx val="1"/>
          <c:order val="1"/>
          <c:tx>
            <c:strRef>
              <c:f>'82599ES vs x710 vs xxv710'!$D$13</c:f>
            </c:strRef>
          </c:tx>
          <c:spPr>
            <a:solidFill>
              <a:schemeClr val="accent2"/>
            </a:solidFill>
          </c:spPr>
          <c:cat>
            <c:strRef>
              <c:f>'82599ES vs x710 vs xxv710'!$E$11:$I$11</c:f>
            </c:strRef>
          </c:cat>
          <c:val>
            <c:numRef>
              <c:f>'82599ES vs x710 vs xxv710'!$E$13:$I$13</c:f>
            </c:numRef>
          </c:val>
        </c:ser>
        <c:ser>
          <c:idx val="2"/>
          <c:order val="2"/>
          <c:tx>
            <c:strRef>
              <c:f>'82599ES vs x710 vs xxv710'!$D$14</c:f>
            </c:strRef>
          </c:tx>
          <c:spPr>
            <a:solidFill>
              <a:schemeClr val="accent3"/>
            </a:solidFill>
          </c:spPr>
          <c:cat>
            <c:strRef>
              <c:f>'82599ES vs x710 vs xxv710'!$E$11:$I$11</c:f>
            </c:strRef>
          </c:cat>
          <c:val>
            <c:numRef>
              <c:f>'82599ES vs x710 vs xxv710'!$E$14:$I$14</c:f>
            </c:numRef>
          </c:val>
        </c:ser>
        <c:axId val="288696846"/>
        <c:axId val="1992774598"/>
      </c:barChart>
      <c:catAx>
        <c:axId val="288696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774598"/>
      </c:catAx>
      <c:valAx>
        <c:axId val="1992774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696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Throughput Gbps [TX+RX]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'82599ES vs x710 vs xxv710'!$D$27</c:f>
            </c:strRef>
          </c:tx>
          <c:spPr>
            <a:solidFill>
              <a:schemeClr val="accent1"/>
            </a:solidFill>
          </c:spPr>
          <c:cat>
            <c:strRef>
              <c:f>'82599ES vs x710 vs xxv710'!$E$11:$I$11</c:f>
            </c:strRef>
          </c:cat>
          <c:val>
            <c:numRef>
              <c:f>'82599ES vs x710 vs xxv710'!$E$27:$I$27</c:f>
            </c:numRef>
          </c:val>
        </c:ser>
        <c:ser>
          <c:idx val="1"/>
          <c:order val="1"/>
          <c:tx>
            <c:strRef>
              <c:f>'82599ES vs x710 vs xxv710'!$D$28</c:f>
            </c:strRef>
          </c:tx>
          <c:spPr>
            <a:solidFill>
              <a:schemeClr val="accent2"/>
            </a:solidFill>
          </c:spPr>
          <c:cat>
            <c:strRef>
              <c:f>'82599ES vs x710 vs xxv710'!$E$11:$I$11</c:f>
            </c:strRef>
          </c:cat>
          <c:val>
            <c:numRef>
              <c:f>'82599ES vs x710 vs xxv710'!$E$28:$I$28</c:f>
            </c:numRef>
          </c:val>
        </c:ser>
        <c:ser>
          <c:idx val="2"/>
          <c:order val="2"/>
          <c:tx>
            <c:strRef>
              <c:f>'82599ES vs x710 vs xxv710'!$D$29</c:f>
            </c:strRef>
          </c:tx>
          <c:spPr>
            <a:solidFill>
              <a:schemeClr val="accent3"/>
            </a:solidFill>
          </c:spPr>
          <c:cat>
            <c:strRef>
              <c:f>'82599ES vs x710 vs xxv710'!$E$11:$I$11</c:f>
            </c:strRef>
          </c:cat>
          <c:val>
            <c:numRef>
              <c:f>'82599ES vs x710 vs xxv710'!$E$29:$I$29</c:f>
            </c:numRef>
          </c:val>
        </c:ser>
        <c:axId val="383374175"/>
        <c:axId val="1563823336"/>
      </c:barChart>
      <c:catAx>
        <c:axId val="383374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823336"/>
      </c:catAx>
      <c:valAx>
        <c:axId val="1563823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374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Mpps [TX+RX] various core allocation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'AMD various Cores'!$D$25</c:f>
            </c:strRef>
          </c:tx>
          <c:spPr>
            <a:solidFill>
              <a:schemeClr val="accent1"/>
            </a:solidFill>
          </c:spPr>
          <c:cat>
            <c:strRef>
              <c:f>'AMD various Cores'!$E$16:$I$16</c:f>
            </c:strRef>
          </c:cat>
          <c:val>
            <c:numRef>
              <c:f>'AMD various Cores'!$E$25:$I$25</c:f>
            </c:numRef>
          </c:val>
        </c:ser>
        <c:ser>
          <c:idx val="1"/>
          <c:order val="1"/>
          <c:tx>
            <c:strRef>
              <c:f>'AMD various Cores'!$D$26</c:f>
            </c:strRef>
          </c:tx>
          <c:spPr>
            <a:solidFill>
              <a:schemeClr val="accent2"/>
            </a:solidFill>
          </c:spPr>
          <c:cat>
            <c:strRef>
              <c:f>'AMD various Cores'!$E$16:$I$16</c:f>
            </c:strRef>
          </c:cat>
          <c:val>
            <c:numRef>
              <c:f>'AMD various Cores'!$E$26:$I$26</c:f>
            </c:numRef>
          </c:val>
        </c:ser>
        <c:ser>
          <c:idx val="2"/>
          <c:order val="2"/>
          <c:tx>
            <c:strRef>
              <c:f>'AMD various Cores'!$D$27</c:f>
            </c:strRef>
          </c:tx>
          <c:spPr>
            <a:solidFill>
              <a:schemeClr val="accent3"/>
            </a:solidFill>
          </c:spPr>
          <c:cat>
            <c:strRef>
              <c:f>'AMD various Cores'!$E$16:$I$16</c:f>
            </c:strRef>
          </c:cat>
          <c:val>
            <c:numRef>
              <c:f>'AMD various Cores'!$E$27:$I$27</c:f>
            </c:numRef>
          </c:val>
        </c:ser>
        <c:ser>
          <c:idx val="3"/>
          <c:order val="3"/>
          <c:tx>
            <c:strRef>
              <c:f>'AMD various Cores'!$D$28</c:f>
            </c:strRef>
          </c:tx>
          <c:spPr>
            <a:solidFill>
              <a:schemeClr val="accent4"/>
            </a:solidFill>
          </c:spPr>
          <c:cat>
            <c:strRef>
              <c:f>'AMD various Cores'!$E$16:$I$16</c:f>
            </c:strRef>
          </c:cat>
          <c:val>
            <c:numRef>
              <c:f>'AMD various Cores'!$E$28:$I$28</c:f>
            </c:numRef>
          </c:val>
        </c:ser>
        <c:axId val="698116173"/>
        <c:axId val="1065373389"/>
      </c:barChart>
      <c:catAx>
        <c:axId val="698116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373389"/>
      </c:catAx>
      <c:valAx>
        <c:axId val="1065373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Total Mpps [TX+RX]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116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Mpps/core (64B) various core allocation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'AMD various Cores'!$D$29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'AMD various Cores'!$E$16</c:f>
            </c:strRef>
          </c:cat>
          <c:val>
            <c:numRef>
              <c:f>'AMD various Cores'!$E$29</c:f>
            </c:numRef>
          </c:val>
        </c:ser>
        <c:ser>
          <c:idx val="1"/>
          <c:order val="1"/>
          <c:tx>
            <c:strRef>
              <c:f>'AMD various Cores'!$D$30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'AMD various Cores'!$E$16</c:f>
            </c:strRef>
          </c:cat>
          <c:val>
            <c:numRef>
              <c:f>'AMD various Cores'!$E$30</c:f>
            </c:numRef>
          </c:val>
        </c:ser>
        <c:ser>
          <c:idx val="2"/>
          <c:order val="2"/>
          <c:tx>
            <c:strRef>
              <c:f>'AMD various Cores'!$D$31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'AMD various Cores'!$E$16</c:f>
            </c:strRef>
          </c:cat>
          <c:val>
            <c:numRef>
              <c:f>'AMD various Cores'!$E$31</c:f>
            </c:numRef>
          </c:val>
        </c:ser>
        <c:ser>
          <c:idx val="3"/>
          <c:order val="3"/>
          <c:tx>
            <c:strRef>
              <c:f>'AMD various Cores'!$D$32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'AMD various Cores'!$E$16</c:f>
            </c:strRef>
          </c:cat>
          <c:val>
            <c:numRef>
              <c:f>'AMD various Cores'!$E$32</c:f>
            </c:numRef>
          </c:val>
        </c:ser>
        <c:axId val="645727447"/>
        <c:axId val="561800850"/>
      </c:barChart>
      <c:catAx>
        <c:axId val="645727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800850"/>
      </c:catAx>
      <c:valAx>
        <c:axId val="561800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Mpps/core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727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Latency various core allocation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'AMD various Cores'!$D$33</c:f>
            </c:strRef>
          </c:tx>
          <c:spPr>
            <a:solidFill>
              <a:schemeClr val="accent1"/>
            </a:solidFill>
          </c:spPr>
          <c:cat>
            <c:strRef>
              <c:f>'AMD various Cores'!$E$16:$I$16</c:f>
            </c:strRef>
          </c:cat>
          <c:val>
            <c:numRef>
              <c:f>'AMD various Cores'!$E$33:$I$33</c:f>
            </c:numRef>
          </c:val>
        </c:ser>
        <c:ser>
          <c:idx val="1"/>
          <c:order val="1"/>
          <c:tx>
            <c:strRef>
              <c:f>'AMD various Cores'!$D$34</c:f>
            </c:strRef>
          </c:tx>
          <c:spPr>
            <a:solidFill>
              <a:schemeClr val="accent2"/>
            </a:solidFill>
          </c:spPr>
          <c:cat>
            <c:strRef>
              <c:f>'AMD various Cores'!$E$16:$I$16</c:f>
            </c:strRef>
          </c:cat>
          <c:val>
            <c:numRef>
              <c:f>'AMD various Cores'!$E$34:$I$34</c:f>
            </c:numRef>
          </c:val>
        </c:ser>
        <c:ser>
          <c:idx val="2"/>
          <c:order val="2"/>
          <c:tx>
            <c:strRef>
              <c:f>'AMD various Cores'!$D$35</c:f>
            </c:strRef>
          </c:tx>
          <c:spPr>
            <a:solidFill>
              <a:schemeClr val="accent3"/>
            </a:solidFill>
          </c:spPr>
          <c:cat>
            <c:strRef>
              <c:f>'AMD various Cores'!$E$16:$I$16</c:f>
            </c:strRef>
          </c:cat>
          <c:val>
            <c:numRef>
              <c:f>'AMD various Cores'!$E$35:$I$35</c:f>
            </c:numRef>
          </c:val>
        </c:ser>
        <c:ser>
          <c:idx val="3"/>
          <c:order val="3"/>
          <c:tx>
            <c:strRef>
              <c:f>'AMD various Cores'!$D$36</c:f>
            </c:strRef>
          </c:tx>
          <c:spPr>
            <a:solidFill>
              <a:schemeClr val="accent4"/>
            </a:solidFill>
          </c:spPr>
          <c:cat>
            <c:strRef>
              <c:f>'AMD various Cores'!$E$16:$I$16</c:f>
            </c:strRef>
          </c:cat>
          <c:val>
            <c:numRef>
              <c:f>'AMD various Cores'!$E$36:$I$36</c:f>
            </c:numRef>
          </c:val>
        </c:ser>
        <c:axId val="1649793708"/>
        <c:axId val="440923496"/>
      </c:barChart>
      <c:catAx>
        <c:axId val="1649793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923496"/>
      </c:catAx>
      <c:valAx>
        <c:axId val="440923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Avg. Latency [us]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793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Cores for 10 MPPS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Notes!$B$17</c:f>
            </c:strRef>
          </c:tx>
          <c:spPr>
            <a:solidFill>
              <a:schemeClr val="accent1"/>
            </a:solidFill>
          </c:spPr>
          <c:cat>
            <c:strRef>
              <c:f>Notes!$A$18:$A$19</c:f>
            </c:strRef>
          </c:cat>
          <c:val>
            <c:numRef>
              <c:f>Notes!$B$18:$B$19</c:f>
            </c:numRef>
          </c:val>
        </c:ser>
        <c:axId val="827905206"/>
        <c:axId val="101126180"/>
      </c:barChart>
      <c:catAx>
        <c:axId val="827905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26180"/>
      </c:catAx>
      <c:valAx>
        <c:axId val="101126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Cores for 8MPPS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9052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Notes!$B$21</c:f>
            </c:strRef>
          </c:tx>
          <c:spPr>
            <a:solidFill>
              <a:schemeClr val="accent1"/>
            </a:solidFill>
          </c:spPr>
          <c:cat>
            <c:strRef>
              <c:f>Notes!$A$22:$A$23</c:f>
            </c:strRef>
          </c:cat>
          <c:val>
            <c:numRef>
              <c:f>Notes!$B$22:$B$23</c:f>
            </c:numRef>
          </c:val>
        </c:ser>
        <c:axId val="1664671842"/>
        <c:axId val="1971804760"/>
      </c:barChart>
      <c:catAx>
        <c:axId val="1664671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804760"/>
      </c:catAx>
      <c:valAx>
        <c:axId val="1971804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 per 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671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Percentage gain (MPPS)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Notes!$B$32</c:f>
            </c:strRef>
          </c:tx>
          <c:spPr>
            <a:solidFill>
              <a:schemeClr val="accent1"/>
            </a:solidFill>
          </c:spPr>
          <c:cat>
            <c:strRef>
              <c:f>Notes!$A$33:$A$34</c:f>
            </c:strRef>
          </c:cat>
          <c:val>
            <c:numRef>
              <c:f>Notes!$B$33:$B$34</c:f>
            </c:numRef>
          </c:val>
        </c:ser>
        <c:axId val="1536131185"/>
        <c:axId val="1874423927"/>
      </c:barChart>
      <c:catAx>
        <c:axId val="1536131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423927"/>
      </c:catAx>
      <c:valAx>
        <c:axId val="1874423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Percentage gain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131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Percentage gain (MPPS)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Notes!$B$46</c:f>
            </c:strRef>
          </c:tx>
          <c:spPr>
            <a:solidFill>
              <a:schemeClr val="accent1"/>
            </a:solidFill>
          </c:spPr>
          <c:cat>
            <c:strRef>
              <c:f>Notes!$A$47:$A$48</c:f>
            </c:strRef>
          </c:cat>
          <c:val>
            <c:numRef>
              <c:f>Notes!$B$47:$B$48</c:f>
            </c:numRef>
          </c:val>
        </c:ser>
        <c:axId val="1442607473"/>
        <c:axId val="1917224552"/>
      </c:barChart>
      <c:catAx>
        <c:axId val="1442607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224552"/>
      </c:catAx>
      <c:valAx>
        <c:axId val="1917224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Percentage gain (MPPS)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607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 - MPLSoGRE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82599 ES  - '!$D$22</c:f>
            </c:strRef>
          </c:tx>
          <c:spPr>
            <a:solidFill>
              <a:srgbClr val="F1C23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82599 ES  - '!$E$22:$I$22</c:f>
            </c:numRef>
          </c:val>
        </c:ser>
        <c:axId val="1568813256"/>
        <c:axId val="229190565"/>
      </c:barChart>
      <c:catAx>
        <c:axId val="156881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190565"/>
      </c:catAx>
      <c:valAx>
        <c:axId val="229190565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813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Percentage gain (MPPS)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Notes!$B$59</c:f>
            </c:strRef>
          </c:tx>
          <c:spPr>
            <a:solidFill>
              <a:schemeClr val="accent1"/>
            </a:solidFill>
          </c:spPr>
          <c:cat>
            <c:strRef>
              <c:f>Notes!$A$60:$A$63</c:f>
            </c:strRef>
          </c:cat>
          <c:val>
            <c:numRef>
              <c:f>Notes!$B$60:$B$63</c:f>
            </c:numRef>
          </c:val>
        </c:ser>
        <c:axId val="1443751871"/>
        <c:axId val="2072969948"/>
      </c:barChart>
      <c:catAx>
        <c:axId val="1443751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2969948"/>
      </c:catAx>
      <c:valAx>
        <c:axId val="2072969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Percentage gain (MPPS)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751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Packet Mode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'vRouter DPDK Intel X710'!$D$11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X710'!$E$11:$E$15</c:f>
            </c:strRef>
          </c:cat>
          <c:val>
            <c:numRef>
              <c:f>'vRouter DPDK Intel X710'!$D$12:$D$25</c:f>
            </c:numRef>
          </c:val>
        </c:ser>
        <c:ser>
          <c:idx val="2"/>
          <c:order val="2"/>
          <c:tx>
            <c:strRef>
              <c:f>'vRouter DPDK Intel X710'!$I$10</c:f>
            </c:strRef>
          </c:tx>
          <c:cat>
            <c:strRef>
              <c:f>'vRouter DPDK Intel X710'!$E$11:$E$15</c:f>
            </c:strRef>
          </c:cat>
          <c:val>
            <c:numRef>
              <c:f>'vRouter DPDK Intel X710'!$I$11:$I$15</c:f>
            </c:numRef>
          </c:val>
        </c:ser>
        <c:ser>
          <c:idx val="3"/>
          <c:order val="3"/>
          <c:tx>
            <c:strRef>
              <c:f>'vRouter DPDK Intel X710'!$D$11</c:f>
            </c:strRef>
          </c:tx>
          <c:cat>
            <c:strRef>
              <c:f>'vRouter DPDK Intel X710'!$E$11:$E$15</c:f>
            </c:strRef>
          </c:cat>
          <c:val>
            <c:numRef>
              <c:f>'vRouter DPDK Intel X710'!$D$12:$D$15</c:f>
            </c:numRef>
          </c:val>
        </c:ser>
        <c:ser>
          <c:idx val="4"/>
          <c:order val="4"/>
          <c:tx>
            <c:strRef>
              <c:f>'vRouter DPDK Intel X710'!$I$16</c:f>
            </c:strRef>
          </c:tx>
          <c:cat>
            <c:strRef>
              <c:f>'vRouter DPDK Intel X710'!$E$11:$E$15</c:f>
            </c:strRef>
          </c:cat>
          <c:val>
            <c:numRef>
              <c:f>'vRouter DPDK Intel X710'!$I$17:$I$20</c:f>
            </c:numRef>
          </c:val>
        </c:ser>
        <c:ser>
          <c:idx val="5"/>
          <c:order val="5"/>
          <c:tx>
            <c:strRef>
              <c:f>'vRouter DPDK Intel X710'!$D$16</c:f>
            </c:strRef>
          </c:tx>
          <c:cat>
            <c:strRef>
              <c:f>'vRouter DPDK Intel X710'!$E$11:$E$15</c:f>
            </c:strRef>
          </c:cat>
          <c:val>
            <c:numRef>
              <c:f>'vRouter DPDK Intel X710'!$D$17:$D$20</c:f>
            </c:numRef>
          </c:val>
        </c:ser>
        <c:axId val="323693861"/>
        <c:axId val="1971991940"/>
      </c:barChart>
      <c:catAx>
        <c:axId val="323693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Frame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991940"/>
      </c:catAx>
      <c:valAx>
        <c:axId val="1971991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69386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Count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'vRouter DPDK Intel X710'!$E$10:$E$15</c:f>
            </c:strRef>
          </c:cat>
          <c:val>
            <c:numRef>
              <c:f>'vRouter DPDK Intel X710'!$I$16:$I$20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'vRouter DPDK Intel X710'!$E$10:$E$15</c:f>
            </c:strRef>
          </c:cat>
          <c:val>
            <c:numRef>
              <c:f>'vRouter DPDK Intel X710'!$I$10:$I$15</c:f>
            </c:numRef>
          </c:val>
        </c:ser>
        <c:axId val="1514346577"/>
        <c:axId val="283443750"/>
      </c:barChart>
      <c:catAx>
        <c:axId val="1514346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Count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443750"/>
      </c:catAx>
      <c:valAx>
        <c:axId val="283443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346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Mpps [TX+RX]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'OVS vs vRouter (non)Multiqueue'!$E$21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'OVS vs vRouter (non)Multiqueue'!$F$16:$J$16</c:f>
            </c:strRef>
          </c:cat>
          <c:val>
            <c:numRef>
              <c:f>'OVS vs vRouter (non)Multiqueue'!$F$21:$J$21</c:f>
            </c:numRef>
          </c:val>
        </c:ser>
        <c:ser>
          <c:idx val="1"/>
          <c:order val="1"/>
          <c:tx>
            <c:strRef>
              <c:f>'OVS vs vRouter (non)Multiqueue'!$E$22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'OVS vs vRouter (non)Multiqueue'!$F$16:$J$16</c:f>
            </c:strRef>
          </c:cat>
          <c:val>
            <c:numRef>
              <c:f>'OVS vs vRouter (non)Multiqueue'!$F$22:$J$22</c:f>
            </c:numRef>
          </c:val>
        </c:ser>
        <c:axId val="715701447"/>
        <c:axId val="1826780841"/>
      </c:barChart>
      <c:catAx>
        <c:axId val="715701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Frame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780841"/>
      </c:catAx>
      <c:valAx>
        <c:axId val="1826780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701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Throughput Gbps [TX+RX]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'OVS vs vRouter (non)Multiqueue'!$E$17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'OVS vs vRouter (non)Multiqueue'!$F$16:$J$16</c:f>
            </c:strRef>
          </c:cat>
          <c:val>
            <c:numRef>
              <c:f>'OVS vs vRouter (non)Multiqueue'!$F$17:$J$17</c:f>
            </c:numRef>
          </c:val>
        </c:ser>
        <c:ser>
          <c:idx val="1"/>
          <c:order val="1"/>
          <c:tx>
            <c:strRef>
              <c:f>'OVS vs vRouter (non)Multiqueue'!$E$18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'OVS vs vRouter (non)Multiqueue'!$F$16:$J$16</c:f>
            </c:strRef>
          </c:cat>
          <c:val>
            <c:numRef>
              <c:f>'OVS vs vRouter (non)Multiqueue'!$F$18:$J$18</c:f>
            </c:numRef>
          </c:val>
        </c:ser>
        <c:axId val="504696871"/>
        <c:axId val="960276514"/>
      </c:barChart>
      <c:catAx>
        <c:axId val="504696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Frame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276514"/>
      </c:catAx>
      <c:valAx>
        <c:axId val="960276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4696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 - MPLSoGRE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82599 ES  - '!$D$40</c:f>
            </c:strRef>
          </c:tx>
          <c:spPr>
            <a:solidFill>
              <a:srgbClr val="F1C23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82599 ES  - '!$E$40:$I$40</c:f>
            </c:numRef>
          </c:val>
        </c:ser>
        <c:axId val="1777319883"/>
        <c:axId val="306192049"/>
      </c:barChart>
      <c:catAx>
        <c:axId val="1777319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192049"/>
      </c:catAx>
      <c:valAx>
        <c:axId val="306192049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319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82599 ES  - '!$D$15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82599 ES  - '!$E$15</c:f>
            </c:numRef>
          </c:val>
        </c:ser>
        <c:ser>
          <c:idx val="1"/>
          <c:order val="1"/>
          <c:tx>
            <c:strRef>
              <c:f>'vRouter DPDK Intel 82599 ES  - '!$D$17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82599 ES  - '!$E$17</c:f>
            </c:numRef>
          </c:val>
        </c:ser>
        <c:ser>
          <c:idx val="2"/>
          <c:order val="2"/>
          <c:tx>
            <c:strRef>
              <c:f>'vRouter DPDK Intel 82599 ES  - '!$D$16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82599 ES  - '!$E$16</c:f>
            </c:numRef>
          </c:val>
        </c:ser>
        <c:axId val="772603803"/>
        <c:axId val="534597480"/>
      </c:barChart>
      <c:catAx>
        <c:axId val="772603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64 bytes 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597480"/>
      </c:catAx>
      <c:valAx>
        <c:axId val="534597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603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 - MPLSoUDP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82599 ES  - '!$D$15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82599 ES  - '!$E$15:$I$15</c:f>
            </c:numRef>
          </c:val>
        </c:ser>
        <c:axId val="2002200003"/>
        <c:axId val="647454715"/>
      </c:barChart>
      <c:catAx>
        <c:axId val="2002200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454715"/>
      </c:catAx>
      <c:valAx>
        <c:axId val="647454715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200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 - VxLAN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82599 ES  - '!$D$17</c:f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82599 ES  - '!$E$17:$I$17</c:f>
            </c:numRef>
          </c:val>
        </c:ser>
        <c:axId val="1901762775"/>
        <c:axId val="1386581684"/>
      </c:barChart>
      <c:catAx>
        <c:axId val="1901762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581684"/>
      </c:catAx>
      <c:valAx>
        <c:axId val="1386581684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762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 - MPLSoGRE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82599 ES  - '!$D$16</c:f>
            </c:strRef>
          </c:tx>
          <c:spPr>
            <a:solidFill>
              <a:srgbClr val="F1C23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82599 ES  - '!$E$16:$I$16</c:f>
            </c:numRef>
          </c:val>
        </c:ser>
        <c:axId val="233903287"/>
        <c:axId val="101576390"/>
      </c:barChart>
      <c:catAx>
        <c:axId val="233903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76390"/>
      </c:catAx>
      <c:valAx>
        <c:axId val="101576390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903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82599 ES  - '!$D$33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82599 ES  - '!$E$33</c:f>
            </c:numRef>
          </c:val>
        </c:ser>
        <c:ser>
          <c:idx val="1"/>
          <c:order val="1"/>
          <c:tx>
            <c:strRef>
              <c:f>'vRouter DPDK Intel 82599 ES  - '!$D$35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82599 ES  - '!$E$35</c:f>
            </c:numRef>
          </c:val>
        </c:ser>
        <c:ser>
          <c:idx val="2"/>
          <c:order val="2"/>
          <c:tx>
            <c:strRef>
              <c:f>'vRouter DPDK Intel 82599 ES  - '!$D$34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82599 ES  - '!$E$34</c:f>
            </c:numRef>
          </c:val>
        </c:ser>
        <c:axId val="1327139276"/>
        <c:axId val="1186280371"/>
      </c:barChart>
      <c:catAx>
        <c:axId val="1327139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64 bytes 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280371"/>
      </c:catAx>
      <c:valAx>
        <c:axId val="1186280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139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 - MPLSoUDP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82599 ES  - '!$D$33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82599 ES  - '!$E$33:$I$33</c:f>
            </c:numRef>
          </c:val>
        </c:ser>
        <c:axId val="139180014"/>
        <c:axId val="1438202124"/>
      </c:barChart>
      <c:catAx>
        <c:axId val="139180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202124"/>
      </c:catAx>
      <c:valAx>
        <c:axId val="1438202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80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 - VxLAN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82599 ES  - '!$D$35</c:f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82599 ES  - '!$E$35:$I$35</c:f>
            </c:numRef>
          </c:val>
        </c:ser>
        <c:axId val="586826899"/>
        <c:axId val="383281006"/>
      </c:barChart>
      <c:catAx>
        <c:axId val="586826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281006"/>
      </c:catAx>
      <c:valAx>
        <c:axId val="383281006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826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82599 ES  - '!$D$39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82599 ES  - '!$E$11:$I$11</c:f>
            </c:strRef>
          </c:cat>
          <c:val>
            <c:numRef>
              <c:f>'vRouter DPDK Intel 82599 ES  - '!$E$39:$I$39</c:f>
            </c:numRef>
          </c:val>
        </c:ser>
        <c:ser>
          <c:idx val="1"/>
          <c:order val="1"/>
          <c:tx>
            <c:strRef>
              <c:f>'vRouter DPDK Intel 82599 ES  - '!$D$40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82599 ES  - '!$E$11:$I$11</c:f>
            </c:strRef>
          </c:cat>
          <c:val>
            <c:numRef>
              <c:f>'vRouter DPDK Intel 82599 ES  - '!$E$40:$I$40</c:f>
            </c:numRef>
          </c:val>
        </c:ser>
        <c:ser>
          <c:idx val="2"/>
          <c:order val="2"/>
          <c:tx>
            <c:strRef>
              <c:f>'vRouter DPDK Intel 82599 ES  - '!$D$41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82599 ES  - '!$E$11:$I$11</c:f>
            </c:strRef>
          </c:cat>
          <c:val>
            <c:numRef>
              <c:f>'vRouter DPDK Intel 82599 ES  - '!$E$41:$I$41</c:f>
            </c:numRef>
          </c:val>
        </c:ser>
        <c:axId val="1717418352"/>
        <c:axId val="1930375987"/>
      </c:barChart>
      <c:catAx>
        <c:axId val="171741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375987"/>
      </c:catAx>
      <c:valAx>
        <c:axId val="1930375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418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 - MPLSoGRE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82599 ES  - '!$D$34</c:f>
            </c:strRef>
          </c:tx>
          <c:spPr>
            <a:solidFill>
              <a:srgbClr val="F1C23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82599 ES  - '!$E$34:$I$34</c:f>
            </c:numRef>
          </c:val>
        </c:ser>
        <c:axId val="200113127"/>
        <c:axId val="2002261443"/>
      </c:barChart>
      <c:catAx>
        <c:axId val="200113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261443"/>
      </c:catAx>
      <c:valAx>
        <c:axId val="2002261443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13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X710  - 2+2H'!$D$36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X710  - 2+2H'!$E$36:$I$36</c:f>
            </c:numRef>
          </c:val>
        </c:ser>
        <c:ser>
          <c:idx val="1"/>
          <c:order val="1"/>
          <c:tx>
            <c:strRef>
              <c:f>'vRouter DPDK Intel X710  - 2+2H'!$D$37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X710  - 2+2H'!$E$37:$I$37</c:f>
            </c:numRef>
          </c:val>
        </c:ser>
        <c:ser>
          <c:idx val="2"/>
          <c:order val="2"/>
          <c:tx>
            <c:strRef>
              <c:f>'vRouter DPDK Intel X710  - 2+2H'!$D$38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X710  - 2+2H'!$E$38:$I$38</c:f>
            </c:numRef>
          </c:val>
        </c:ser>
        <c:axId val="145980514"/>
        <c:axId val="90483077"/>
      </c:barChart>
      <c:catAx>
        <c:axId val="145980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83077"/>
      </c:catAx>
      <c:valAx>
        <c:axId val="90483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80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Throughput Gbps [TX+RX]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X710  - 2+2H'!$D$12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X710  - 2+2H'!$E$12:$I$12</c:f>
            </c:numRef>
          </c:val>
        </c:ser>
        <c:ser>
          <c:idx val="1"/>
          <c:order val="1"/>
          <c:tx>
            <c:strRef>
              <c:f>'vRouter DPDK Intel X710  - 2+2H'!$D$13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X710  - 2+2H'!$E$13:$I$13</c:f>
            </c:numRef>
          </c:val>
        </c:ser>
        <c:ser>
          <c:idx val="2"/>
          <c:order val="2"/>
          <c:tx>
            <c:strRef>
              <c:f>'vRouter DPDK Intel X710  - 2+2H'!$D$14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X710  - 2+2H'!$E$14:$I$14</c:f>
            </c:numRef>
          </c:val>
        </c:ser>
        <c:axId val="926226853"/>
        <c:axId val="1407922947"/>
      </c:barChart>
      <c:catAx>
        <c:axId val="926226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7922947"/>
      </c:catAx>
      <c:valAx>
        <c:axId val="1407922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226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Throughput Gbps [TX+RX]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X710  - 2+2H'!$D$28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- 2+2H'!$E$27:$I$27</c:f>
            </c:strRef>
          </c:cat>
          <c:val>
            <c:numRef>
              <c:f>'vRouter DPDK Intel X710  - 2+2H'!$E$28:$I$28</c:f>
            </c:numRef>
          </c:val>
        </c:ser>
        <c:ser>
          <c:idx val="1"/>
          <c:order val="1"/>
          <c:tx>
            <c:strRef>
              <c:f>'vRouter DPDK Intel X710  - 2+2H'!$D$29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- 2+2H'!$E$27:$I$27</c:f>
            </c:strRef>
          </c:cat>
          <c:val>
            <c:numRef>
              <c:f>'vRouter DPDK Intel X710  - 2+2H'!$E$29:$I$29</c:f>
            </c:numRef>
          </c:val>
        </c:ser>
        <c:axId val="1412211250"/>
        <c:axId val="726257543"/>
      </c:barChart>
      <c:catAx>
        <c:axId val="1412211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6257543"/>
      </c:catAx>
      <c:valAx>
        <c:axId val="726257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211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X710  - 2+2H'!$D$21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X710  - 2+2H'!$E$21</c:f>
            </c:numRef>
          </c:val>
        </c:ser>
        <c:ser>
          <c:idx val="1"/>
          <c:order val="1"/>
          <c:tx>
            <c:strRef>
              <c:f>'vRouter DPDK Intel X710  - 2+2H'!$D$23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X710  - 2+2H'!$E$23</c:f>
            </c:numRef>
          </c:val>
        </c:ser>
        <c:ser>
          <c:idx val="2"/>
          <c:order val="2"/>
          <c:tx>
            <c:strRef>
              <c:f>'vRouter DPDK Intel X710  - 2+2H'!$D$22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X710  - 2+2H'!$E$22</c:f>
            </c:numRef>
          </c:val>
        </c:ser>
        <c:axId val="1186302271"/>
        <c:axId val="1166287176"/>
      </c:barChart>
      <c:catAx>
        <c:axId val="1186302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64 bytes 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287176"/>
      </c:catAx>
      <c:valAx>
        <c:axId val="1166287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6302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 - MPLSoUDP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X710  - 2+2H'!$D$21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X710  - 2+2H'!$E$21:$I$21</c:f>
            </c:numRef>
          </c:val>
        </c:ser>
        <c:axId val="1499678729"/>
        <c:axId val="1768952798"/>
      </c:barChart>
      <c:catAx>
        <c:axId val="1499678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952798"/>
      </c:catAx>
      <c:valAx>
        <c:axId val="1768952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678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 - MPLSoGRE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X710  - 2+2H'!$D$22</c:f>
            </c:strRef>
          </c:tx>
          <c:spPr>
            <a:solidFill>
              <a:srgbClr val="F1C23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X710  - 2+2H'!$E$22:$I$22</c:f>
            </c:numRef>
          </c:val>
        </c:ser>
        <c:axId val="775352081"/>
        <c:axId val="1083805702"/>
      </c:barChart>
      <c:catAx>
        <c:axId val="775352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805702"/>
      </c:catAx>
      <c:valAx>
        <c:axId val="1083805702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352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 - VxLAN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X710  - 2+2H'!$D$23</c:f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X710  - 2+2H'!$E$23:$I$23</c:f>
            </c:numRef>
          </c:val>
        </c:ser>
        <c:axId val="335257875"/>
        <c:axId val="644694179"/>
      </c:barChart>
      <c:catAx>
        <c:axId val="335257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694179"/>
      </c:catAx>
      <c:valAx>
        <c:axId val="644694179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2578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X710  - 2+2H'!$D$36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X710  - 2+2H'!$E$36</c:f>
            </c:numRef>
          </c:val>
        </c:ser>
        <c:ser>
          <c:idx val="1"/>
          <c:order val="1"/>
          <c:tx>
            <c:strRef>
              <c:f>'vRouter DPDK Intel X710  - 2+2H'!$D$38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X710  - 2+2H'!$E$38</c:f>
            </c:numRef>
          </c:val>
        </c:ser>
        <c:ser>
          <c:idx val="2"/>
          <c:order val="2"/>
          <c:tx>
            <c:strRef>
              <c:f>'vRouter DPDK Intel X710  - 2+2H'!$D$37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X710  - 2+2H'!$E$37</c:f>
            </c:numRef>
          </c:val>
        </c:ser>
        <c:axId val="1586401187"/>
        <c:axId val="2016696067"/>
      </c:barChart>
      <c:catAx>
        <c:axId val="1586401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64 bytes 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696067"/>
      </c:catAx>
      <c:valAx>
        <c:axId val="2016696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401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 - MPLSoUDP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X710  - 2+2H'!$D$36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X710  - 2+2H'!$E$36:$I$36</c:f>
            </c:numRef>
          </c:val>
        </c:ser>
        <c:axId val="507555719"/>
        <c:axId val="1317594571"/>
      </c:barChart>
      <c:catAx>
        <c:axId val="507555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594571"/>
      </c:catAx>
      <c:valAx>
        <c:axId val="131759457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555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Throughput Gbps [TX+RX]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82599 ES  - '!$D$12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82599 ES  - '!$E$11:$I$11</c:f>
            </c:strRef>
          </c:cat>
          <c:val>
            <c:numRef>
              <c:f>'vRouter DPDK Intel 82599 ES  - '!$E$12:$I$12</c:f>
            </c:numRef>
          </c:val>
        </c:ser>
        <c:ser>
          <c:idx val="1"/>
          <c:order val="1"/>
          <c:tx>
            <c:strRef>
              <c:f>'vRouter DPDK Intel 82599 ES  - '!$D$13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82599 ES  - '!$E$11:$I$11</c:f>
            </c:strRef>
          </c:cat>
          <c:val>
            <c:numRef>
              <c:f>'vRouter DPDK Intel 82599 ES  - '!$E$13:$I$13</c:f>
            </c:numRef>
          </c:val>
        </c:ser>
        <c:ser>
          <c:idx val="2"/>
          <c:order val="2"/>
          <c:tx>
            <c:strRef>
              <c:f>'vRouter DPDK Intel 82599 ES  - '!$D$14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82599 ES  - '!$E$11:$I$11</c:f>
            </c:strRef>
          </c:cat>
          <c:val>
            <c:numRef>
              <c:f>'vRouter DPDK Intel 82599 ES  - '!$E$14:$I$14</c:f>
            </c:numRef>
          </c:val>
        </c:ser>
        <c:axId val="651737143"/>
        <c:axId val="2056181991"/>
      </c:barChart>
      <c:catAx>
        <c:axId val="651737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181991"/>
      </c:catAx>
      <c:valAx>
        <c:axId val="2056181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1737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 - MPLSoGRE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X710  - 2+2H'!$D$37</c:f>
            </c:strRef>
          </c:tx>
          <c:spPr>
            <a:solidFill>
              <a:srgbClr val="F1C23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X710  - 2+2H'!$E$37:$I$37</c:f>
            </c:numRef>
          </c:val>
        </c:ser>
        <c:axId val="264788658"/>
        <c:axId val="740561138"/>
      </c:barChart>
      <c:catAx>
        <c:axId val="264788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561138"/>
      </c:catAx>
      <c:valAx>
        <c:axId val="740561138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788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 - VxLAN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X710  - 2+2H'!$D$38</c:f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X710  - 2+2H'!$E$38:$I$38</c:f>
            </c:numRef>
          </c:val>
        </c:ser>
        <c:axId val="179505394"/>
        <c:axId val="1485166056"/>
      </c:barChart>
      <c:catAx>
        <c:axId val="179505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5166056"/>
      </c:catAx>
      <c:valAx>
        <c:axId val="1485166056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05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X710  - 2+2H'!$D$15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X710  - 2+2H'!$E$15</c:f>
            </c:numRef>
          </c:val>
        </c:ser>
        <c:ser>
          <c:idx val="1"/>
          <c:order val="1"/>
          <c:tx>
            <c:strRef>
              <c:f>'vRouter DPDK Intel X710  - 2+2H'!$D$17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X710  - 2+2H'!$E$17</c:f>
            </c:numRef>
          </c:val>
        </c:ser>
        <c:ser>
          <c:idx val="2"/>
          <c:order val="2"/>
          <c:tx>
            <c:strRef>
              <c:f>'vRouter DPDK Intel X710  - 2+2H'!$D$16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X710  - 2+2H'!$E$16</c:f>
            </c:numRef>
          </c:val>
        </c:ser>
        <c:axId val="812031678"/>
        <c:axId val="651362208"/>
      </c:barChart>
      <c:catAx>
        <c:axId val="812031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64 bytes 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1362208"/>
      </c:catAx>
      <c:valAx>
        <c:axId val="651362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0316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X710  - 2+2H'!$D$30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X710  - 2+2H'!$E$30</c:f>
            </c:numRef>
          </c:val>
        </c:ser>
        <c:ser>
          <c:idx val="1"/>
          <c:order val="1"/>
          <c:tx>
            <c:strRef>
              <c:f>'vRouter DPDK Intel X710  - 2+2H'!$D$32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X710  - 2+2H'!$E$32</c:f>
            </c:numRef>
          </c:val>
        </c:ser>
        <c:ser>
          <c:idx val="2"/>
          <c:order val="2"/>
          <c:tx>
            <c:strRef>
              <c:f>'vRouter DPDK Intel X710  - 2+2H'!$D$31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X710  - 2+2H'!$E$31</c:f>
            </c:numRef>
          </c:val>
        </c:ser>
        <c:axId val="1111830541"/>
        <c:axId val="1262065432"/>
      </c:barChart>
      <c:catAx>
        <c:axId val="1111830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64 bytes 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065432"/>
      </c:catAx>
      <c:valAx>
        <c:axId val="1262065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830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 - MPLSoUDP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X710  - 2+2H'!$D$15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X710  - 2+2H'!$E$15:$I$15</c:f>
            </c:numRef>
          </c:val>
        </c:ser>
        <c:axId val="451050889"/>
        <c:axId val="892390207"/>
      </c:barChart>
      <c:catAx>
        <c:axId val="451050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390207"/>
      </c:catAx>
      <c:valAx>
        <c:axId val="892390207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050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 - VxLAN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X710  - 2+2H'!$D$17</c:f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X710  - 2+2H'!$E$17:$I$17</c:f>
            </c:numRef>
          </c:val>
        </c:ser>
        <c:axId val="12204144"/>
        <c:axId val="790531026"/>
      </c:barChart>
      <c:catAx>
        <c:axId val="1220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531026"/>
      </c:catAx>
      <c:valAx>
        <c:axId val="790531026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4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 - MPLSoGRE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X710  - 2+2H'!$D$16</c:f>
            </c:strRef>
          </c:tx>
          <c:spPr>
            <a:solidFill>
              <a:srgbClr val="F1C23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X710  - 2+2H'!$E$16:$I$16</c:f>
            </c:numRef>
          </c:val>
        </c:ser>
        <c:axId val="1167249682"/>
        <c:axId val="1324802892"/>
      </c:barChart>
      <c:catAx>
        <c:axId val="1167249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802892"/>
      </c:catAx>
      <c:valAx>
        <c:axId val="1324802892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249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 - MPLSoUDP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X710  - 2+2H'!$D$30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X710  - 2+2H'!$E$30:$I$30</c:f>
            </c:numRef>
          </c:val>
        </c:ser>
        <c:axId val="1059233468"/>
        <c:axId val="1303182178"/>
      </c:barChart>
      <c:catAx>
        <c:axId val="1059233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182178"/>
      </c:catAx>
      <c:valAx>
        <c:axId val="1303182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233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 - VxLAN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X710  - 2+2H'!$D$32</c:f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X710  - 2+2H'!$E$32:$I$32</c:f>
            </c:numRef>
          </c:val>
        </c:ser>
        <c:axId val="1058559249"/>
        <c:axId val="618306452"/>
      </c:barChart>
      <c:catAx>
        <c:axId val="1058559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306452"/>
      </c:catAx>
      <c:valAx>
        <c:axId val="618306452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559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 - MPLSoGRE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X710  - 2+2H'!$D$31</c:f>
            </c:strRef>
          </c:tx>
          <c:spPr>
            <a:solidFill>
              <a:srgbClr val="F1C23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X710  - 2+2H'!$E$31:$I$31</c:f>
            </c:numRef>
          </c:val>
        </c:ser>
        <c:axId val="1024551450"/>
        <c:axId val="1192066412"/>
      </c:barChart>
      <c:catAx>
        <c:axId val="1024551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066412"/>
      </c:catAx>
      <c:valAx>
        <c:axId val="1192066412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551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Throughput Gbps [TX+RX]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82599 ES  - '!$D$30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82599 ES  - '!$E$29:$I$29</c:f>
            </c:strRef>
          </c:cat>
          <c:val>
            <c:numRef>
              <c:f>'vRouter DPDK Intel 82599 ES  - '!$E$30:$I$30</c:f>
            </c:numRef>
          </c:val>
        </c:ser>
        <c:ser>
          <c:idx val="1"/>
          <c:order val="1"/>
          <c:tx>
            <c:strRef>
              <c:f>'vRouter DPDK Intel 82599 ES  - '!$D$31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82599 ES  - '!$E$29:$I$29</c:f>
            </c:strRef>
          </c:cat>
          <c:val>
            <c:numRef>
              <c:f>'vRouter DPDK Intel 82599 ES  - '!$E$31:$I$31</c:f>
            </c:numRef>
          </c:val>
        </c:ser>
        <c:ser>
          <c:idx val="2"/>
          <c:order val="2"/>
          <c:tx>
            <c:strRef>
              <c:f>'vRouter DPDK Intel 82599 ES  - '!$D$32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82599 ES  - '!$E$29:$I$29</c:f>
            </c:strRef>
          </c:cat>
          <c:val>
            <c:numRef>
              <c:f>'vRouter DPDK Intel 82599 ES  - '!$E$32:$I$32</c:f>
            </c:numRef>
          </c:val>
        </c:ser>
        <c:axId val="316383678"/>
        <c:axId val="1483205430"/>
      </c:barChart>
      <c:catAx>
        <c:axId val="316383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205430"/>
      </c:catAx>
      <c:valAx>
        <c:axId val="1483205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63836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X710  - 2+2H'!$D$21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X710  - 2+2H'!$E$21:$I$21</c:f>
            </c:numRef>
          </c:val>
        </c:ser>
        <c:ser>
          <c:idx val="1"/>
          <c:order val="1"/>
          <c:tx>
            <c:strRef>
              <c:f>'vRouter DPDK Intel X710  - 2+2H'!$D$22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X710  - 2+2H'!$E$22:$I$22</c:f>
            </c:numRef>
          </c:val>
        </c:ser>
        <c:ser>
          <c:idx val="2"/>
          <c:order val="2"/>
          <c:tx>
            <c:strRef>
              <c:f>'vRouter DPDK Intel X710  - 2+2H'!$D$23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X710  - 2+2H'!$E$23:$I$23</c:f>
            </c:numRef>
          </c:val>
        </c:ser>
        <c:axId val="454034658"/>
        <c:axId val="929141828"/>
      </c:barChart>
      <c:catAx>
        <c:axId val="454034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141828"/>
      </c:catAx>
      <c:valAx>
        <c:axId val="929141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034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XXV710  - 2+'!$D$36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XXV710  - 2+'!$E$11:$I$11</c:f>
            </c:strRef>
          </c:cat>
          <c:val>
            <c:numRef>
              <c:f>'vRouter DPDK Intel XXV710  - 2+'!$E$36:$I$36</c:f>
            </c:numRef>
          </c:val>
        </c:ser>
        <c:ser>
          <c:idx val="1"/>
          <c:order val="1"/>
          <c:tx>
            <c:strRef>
              <c:f>'vRouter DPDK Intel XXV710  - 2+'!$D$37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XXV710  - 2+'!$E$11:$I$11</c:f>
            </c:strRef>
          </c:cat>
          <c:val>
            <c:numRef>
              <c:f>'vRouter DPDK Intel XXV710  - 2+'!$E$37:$I$37</c:f>
            </c:numRef>
          </c:val>
        </c:ser>
        <c:ser>
          <c:idx val="2"/>
          <c:order val="2"/>
          <c:tx>
            <c:strRef>
              <c:f>'vRouter DPDK Intel XXV710  - 2+'!$D$38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XXV710  - 2+'!$E$11:$I$11</c:f>
            </c:strRef>
          </c:cat>
          <c:val>
            <c:numRef>
              <c:f>'vRouter DPDK Intel XXV710  - 2+'!$E$38:$I$38</c:f>
            </c:numRef>
          </c:val>
        </c:ser>
        <c:axId val="1181111639"/>
        <c:axId val="1948091598"/>
      </c:barChart>
      <c:catAx>
        <c:axId val="1181111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091598"/>
      </c:catAx>
      <c:valAx>
        <c:axId val="1948091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111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Throughput Gbps [TX+RX]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XXV710  - 2+'!$D$12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XXV710  - 2+'!$E$11:$I$11</c:f>
            </c:strRef>
          </c:cat>
          <c:val>
            <c:numRef>
              <c:f>'vRouter DPDK Intel XXV710  - 2+'!$E$12:$I$12</c:f>
            </c:numRef>
          </c:val>
        </c:ser>
        <c:ser>
          <c:idx val="1"/>
          <c:order val="1"/>
          <c:tx>
            <c:strRef>
              <c:f>'vRouter DPDK Intel XXV710  - 2+'!$D$13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XXV710  - 2+'!$E$11:$I$11</c:f>
            </c:strRef>
          </c:cat>
          <c:val>
            <c:numRef>
              <c:f>'vRouter DPDK Intel XXV710  - 2+'!$E$13:$I$13</c:f>
            </c:numRef>
          </c:val>
        </c:ser>
        <c:ser>
          <c:idx val="2"/>
          <c:order val="2"/>
          <c:tx>
            <c:strRef>
              <c:f>'vRouter DPDK Intel XXV710  - 2+'!$D$14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XXV710  - 2+'!$E$11:$I$11</c:f>
            </c:strRef>
          </c:cat>
          <c:val>
            <c:numRef>
              <c:f>'vRouter DPDK Intel XXV710  - 2+'!$E$14:$I$14</c:f>
            </c:numRef>
          </c:val>
        </c:ser>
        <c:axId val="1360650099"/>
        <c:axId val="9272798"/>
      </c:barChart>
      <c:catAx>
        <c:axId val="1360650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2798"/>
      </c:catAx>
      <c:valAx>
        <c:axId val="9272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650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Throughput Gbps [TX+RX]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XXV710  - 2+'!$D$28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XXV710  - 2+'!$E$27:$I$27</c:f>
            </c:strRef>
          </c:cat>
          <c:val>
            <c:numRef>
              <c:f>'vRouter DPDK Intel XXV710  - 2+'!$E$28:$I$28</c:f>
            </c:numRef>
          </c:val>
        </c:ser>
        <c:ser>
          <c:idx val="1"/>
          <c:order val="1"/>
          <c:tx>
            <c:strRef>
              <c:f>'vRouter DPDK Intel XXV710  - 2+'!$D$29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XXV710  - 2+'!$E$27:$I$27</c:f>
            </c:strRef>
          </c:cat>
          <c:val>
            <c:numRef>
              <c:f>'vRouter DPDK Intel XXV710  - 2+'!$E$29:$I$29</c:f>
            </c:numRef>
          </c:val>
        </c:ser>
        <c:axId val="1602776252"/>
        <c:axId val="1717401966"/>
      </c:barChart>
      <c:catAx>
        <c:axId val="1602776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401966"/>
      </c:catAx>
      <c:valAx>
        <c:axId val="1717401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776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XXV710  - 2+'!$D$21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XXV710  - 2+'!$E$21</c:f>
            </c:numRef>
          </c:val>
        </c:ser>
        <c:ser>
          <c:idx val="1"/>
          <c:order val="1"/>
          <c:tx>
            <c:strRef>
              <c:f>'vRouter DPDK Intel XXV710  - 2+'!$D$23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XXV710  - 2+'!$E$23</c:f>
            </c:numRef>
          </c:val>
        </c:ser>
        <c:ser>
          <c:idx val="2"/>
          <c:order val="2"/>
          <c:tx>
            <c:strRef>
              <c:f>'vRouter DPDK Intel XXV710  - 2+'!$D$22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XXV710  - 2+'!$E$22</c:f>
            </c:numRef>
          </c:val>
        </c:ser>
        <c:axId val="1276420119"/>
        <c:axId val="117909795"/>
      </c:barChart>
      <c:catAx>
        <c:axId val="1276420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64 bytes 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09795"/>
      </c:catAx>
      <c:valAx>
        <c:axId val="117909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420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 - MPLSoUDP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XXV710  - 2+'!$D$21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XXV710  - 2+'!$E$11:$I$11</c:f>
            </c:strRef>
          </c:cat>
          <c:val>
            <c:numRef>
              <c:f>'vRouter DPDK Intel XXV710  - 2+'!$E$21:$I$21</c:f>
            </c:numRef>
          </c:val>
        </c:ser>
        <c:axId val="422575104"/>
        <c:axId val="1717092115"/>
      </c:barChart>
      <c:catAx>
        <c:axId val="42257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092115"/>
      </c:catAx>
      <c:valAx>
        <c:axId val="1717092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5751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 - MPLSoGRE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XXV710  - 2+'!$D$22</c:f>
            </c:strRef>
          </c:tx>
          <c:spPr>
            <a:solidFill>
              <a:srgbClr val="F1C23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XXV710  - 2+'!$E$11:$I$11</c:f>
            </c:strRef>
          </c:cat>
          <c:val>
            <c:numRef>
              <c:f>'vRouter DPDK Intel XXV710  - 2+'!$E$22:$I$22</c:f>
            </c:numRef>
          </c:val>
        </c:ser>
        <c:axId val="821007916"/>
        <c:axId val="310536179"/>
      </c:barChart>
      <c:catAx>
        <c:axId val="821007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536179"/>
      </c:catAx>
      <c:valAx>
        <c:axId val="310536179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007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 - VxLAN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XXV710  - 2+'!$D$23</c:f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XXV710  - 2+'!$E$11:$I$11</c:f>
            </c:strRef>
          </c:cat>
          <c:val>
            <c:numRef>
              <c:f>'vRouter DPDK Intel XXV710  - 2+'!$E$23:$I$23</c:f>
            </c:numRef>
          </c:val>
        </c:ser>
        <c:axId val="87383291"/>
        <c:axId val="1803967087"/>
      </c:barChart>
      <c:catAx>
        <c:axId val="87383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967087"/>
      </c:catAx>
      <c:valAx>
        <c:axId val="1803967087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83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XXV710  - 2+'!$D$36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XXV710  - 2+'!$E$36</c:f>
            </c:numRef>
          </c:val>
        </c:ser>
        <c:ser>
          <c:idx val="1"/>
          <c:order val="1"/>
          <c:tx>
            <c:strRef>
              <c:f>'vRouter DPDK Intel XXV710  - 2+'!$D$38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XXV710  - 2+'!$E$38</c:f>
            </c:numRef>
          </c:val>
        </c:ser>
        <c:ser>
          <c:idx val="2"/>
          <c:order val="2"/>
          <c:tx>
            <c:strRef>
              <c:f>'vRouter DPDK Intel XXV710  - 2+'!$D$37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XXV710  - 2+'!$E$37</c:f>
            </c:numRef>
          </c:val>
        </c:ser>
        <c:axId val="2126575390"/>
        <c:axId val="1194232219"/>
      </c:barChart>
      <c:catAx>
        <c:axId val="2126575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64 bytes 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232219"/>
      </c:catAx>
      <c:valAx>
        <c:axId val="1194232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6575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 - MPLSoUDP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XXV710  - 2+'!$D$36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XXV710  - 2+'!$E$11:$I$11</c:f>
            </c:strRef>
          </c:cat>
          <c:val>
            <c:numRef>
              <c:f>'vRouter DPDK Intel XXV710  - 2+'!$E$36:$I$36</c:f>
            </c:numRef>
          </c:val>
        </c:ser>
        <c:axId val="1965575918"/>
        <c:axId val="937187020"/>
      </c:barChart>
      <c:catAx>
        <c:axId val="1965575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187020"/>
      </c:catAx>
      <c:valAx>
        <c:axId val="937187020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575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82599 ES  - '!$D$21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82599 ES  - '!$E$21</c:f>
            </c:numRef>
          </c:val>
        </c:ser>
        <c:ser>
          <c:idx val="1"/>
          <c:order val="1"/>
          <c:tx>
            <c:strRef>
              <c:f>'vRouter DPDK Intel 82599 ES  - '!$D$23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82599 ES  - '!$E$23</c:f>
            </c:numRef>
          </c:val>
        </c:ser>
        <c:ser>
          <c:idx val="2"/>
          <c:order val="2"/>
          <c:tx>
            <c:strRef>
              <c:f>'vRouter DPDK Intel 82599 ES  - '!$D$22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82599 ES  - '!$E$22</c:f>
            </c:numRef>
          </c:val>
        </c:ser>
        <c:axId val="992029125"/>
        <c:axId val="786795548"/>
      </c:barChart>
      <c:catAx>
        <c:axId val="992029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64 bytes 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795548"/>
      </c:catAx>
      <c:valAx>
        <c:axId val="786795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029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 - MPLSoGRE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XXV710  - 2+'!$D$37</c:f>
            </c:strRef>
          </c:tx>
          <c:spPr>
            <a:solidFill>
              <a:srgbClr val="F1C23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XXV710  - 2+'!$E$11:$I$11</c:f>
            </c:strRef>
          </c:cat>
          <c:val>
            <c:numRef>
              <c:f>'vRouter DPDK Intel XXV710  - 2+'!$E$37:$I$37</c:f>
            </c:numRef>
          </c:val>
        </c:ser>
        <c:axId val="1999252794"/>
        <c:axId val="2131018732"/>
      </c:barChart>
      <c:catAx>
        <c:axId val="1999252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018732"/>
      </c:catAx>
      <c:valAx>
        <c:axId val="2131018732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2527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 - VxLAN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XXV710  - 2+'!$D$38</c:f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XXV710  - 2+'!$E$11:$I$11</c:f>
            </c:strRef>
          </c:cat>
          <c:val>
            <c:numRef>
              <c:f>'vRouter DPDK Intel XXV710  - 2+'!$E$38:$I$38</c:f>
            </c:numRef>
          </c:val>
        </c:ser>
        <c:axId val="302716495"/>
        <c:axId val="1594135994"/>
      </c:barChart>
      <c:catAx>
        <c:axId val="302716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135994"/>
      </c:catAx>
      <c:valAx>
        <c:axId val="1594135994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2716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XXV710  - 2+'!$D$15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XXV710  - 2+'!$E$15</c:f>
            </c:numRef>
          </c:val>
        </c:ser>
        <c:ser>
          <c:idx val="1"/>
          <c:order val="1"/>
          <c:tx>
            <c:strRef>
              <c:f>'vRouter DPDK Intel XXV710  - 2+'!$D$17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XXV710  - 2+'!$E$17</c:f>
            </c:numRef>
          </c:val>
        </c:ser>
        <c:ser>
          <c:idx val="2"/>
          <c:order val="2"/>
          <c:tx>
            <c:strRef>
              <c:f>'vRouter DPDK Intel XXV710  - 2+'!$D$16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XXV710  - 2+'!$E$16</c:f>
            </c:numRef>
          </c:val>
        </c:ser>
        <c:axId val="626053635"/>
        <c:axId val="1920851359"/>
      </c:barChart>
      <c:catAx>
        <c:axId val="626053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64 bytes 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851359"/>
      </c:catAx>
      <c:valAx>
        <c:axId val="1920851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053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XXV710  - 2+'!$D$30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XXV710  - 2+'!$E$30</c:f>
            </c:numRef>
          </c:val>
        </c:ser>
        <c:ser>
          <c:idx val="1"/>
          <c:order val="1"/>
          <c:tx>
            <c:strRef>
              <c:f>'vRouter DPDK Intel XXV710  - 2+'!$D$32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XXV710  - 2+'!$E$32</c:f>
            </c:numRef>
          </c:val>
        </c:ser>
        <c:ser>
          <c:idx val="2"/>
          <c:order val="2"/>
          <c:tx>
            <c:strRef>
              <c:f>'vRouter DPDK Intel XXV710  - 2+'!$D$31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XXV710  - 2+'!$E$31</c:f>
            </c:numRef>
          </c:val>
        </c:ser>
        <c:axId val="1628957444"/>
        <c:axId val="1046304370"/>
      </c:barChart>
      <c:catAx>
        <c:axId val="1628957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64 bytes 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304370"/>
      </c:catAx>
      <c:valAx>
        <c:axId val="1046304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9574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 - MPLSoUDP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XXV710  - 2+'!$D$15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XXV710  - 2+'!$E$11:$I$11</c:f>
            </c:strRef>
          </c:cat>
          <c:val>
            <c:numRef>
              <c:f>'vRouter DPDK Intel XXV710  - 2+'!$E$15:$I$15</c:f>
            </c:numRef>
          </c:val>
        </c:ser>
        <c:axId val="401555217"/>
        <c:axId val="194190710"/>
      </c:barChart>
      <c:catAx>
        <c:axId val="401555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90710"/>
      </c:catAx>
      <c:valAx>
        <c:axId val="194190710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555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 - VxLAN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XXV710  - 2+'!$D$17</c:f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XXV710  - 2+'!$E$11:$I$11</c:f>
            </c:strRef>
          </c:cat>
          <c:val>
            <c:numRef>
              <c:f>'vRouter DPDK Intel XXV710  - 2+'!$E$17:$I$17</c:f>
            </c:numRef>
          </c:val>
        </c:ser>
        <c:axId val="1379008397"/>
        <c:axId val="658936615"/>
      </c:barChart>
      <c:catAx>
        <c:axId val="1379008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936615"/>
      </c:catAx>
      <c:valAx>
        <c:axId val="658936615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008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 - MPLSoGRE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XXV710  - 2+'!$D$16</c:f>
            </c:strRef>
          </c:tx>
          <c:spPr>
            <a:solidFill>
              <a:srgbClr val="F1C23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XXV710  - 2+'!$E$11:$I$11</c:f>
            </c:strRef>
          </c:cat>
          <c:val>
            <c:numRef>
              <c:f>'vRouter DPDK Intel XXV710  - 2+'!$E$16:$I$16</c:f>
            </c:numRef>
          </c:val>
        </c:ser>
        <c:axId val="1174993620"/>
        <c:axId val="1197497177"/>
      </c:barChart>
      <c:catAx>
        <c:axId val="1174993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497177"/>
      </c:catAx>
      <c:valAx>
        <c:axId val="1197497177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993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 - MPLSoUDP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XXV710  - 2+'!$D$30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XXV710  - 2+'!$E$11:$I$11</c:f>
            </c:strRef>
          </c:cat>
          <c:val>
            <c:numRef>
              <c:f>'vRouter DPDK Intel XXV710  - 2+'!$E$30:$I$30</c:f>
            </c:numRef>
          </c:val>
        </c:ser>
        <c:axId val="338315479"/>
        <c:axId val="395109905"/>
      </c:barChart>
      <c:catAx>
        <c:axId val="338315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109905"/>
      </c:catAx>
      <c:valAx>
        <c:axId val="395109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315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 - VxLAN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XXV710  - 2+'!$D$32</c:f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XXV710  - 2+'!$E$11:$I$11</c:f>
            </c:strRef>
          </c:cat>
          <c:val>
            <c:numRef>
              <c:f>'vRouter DPDK Intel XXV710  - 2+'!$E$32:$I$32</c:f>
            </c:numRef>
          </c:val>
        </c:ser>
        <c:axId val="131295632"/>
        <c:axId val="1671545071"/>
      </c:barChart>
      <c:catAx>
        <c:axId val="13129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545071"/>
      </c:catAx>
      <c:valAx>
        <c:axId val="1671545071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95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Gbps per core - MPLSoGRE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XXV710  - 2+'!$D$31</c:f>
            </c:strRef>
          </c:tx>
          <c:spPr>
            <a:solidFill>
              <a:srgbClr val="F1C23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XXV710  - 2+'!$E$11:$I$11</c:f>
            </c:strRef>
          </c:cat>
          <c:val>
            <c:numRef>
              <c:f>'vRouter DPDK Intel XXV710  - 2+'!$E$31:$I$31</c:f>
            </c:numRef>
          </c:val>
        </c:ser>
        <c:axId val="229273585"/>
        <c:axId val="118788714"/>
      </c:barChart>
      <c:catAx>
        <c:axId val="229273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88714"/>
      </c:catAx>
      <c:valAx>
        <c:axId val="118788714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2735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82599 ES  - '!$D$39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82599 ES  - '!$E$39</c:f>
            </c:numRef>
          </c:val>
        </c:ser>
        <c:ser>
          <c:idx val="1"/>
          <c:order val="1"/>
          <c:tx>
            <c:strRef>
              <c:f>'vRouter DPDK Intel 82599 ES  - '!$D$41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82599 ES  - '!$E$41</c:f>
            </c:numRef>
          </c:val>
        </c:ser>
        <c:ser>
          <c:idx val="2"/>
          <c:order val="2"/>
          <c:tx>
            <c:strRef>
              <c:f>'vRouter DPDK Intel 82599 ES  - '!$D$40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'vRouter DPDK Intel 82599 ES  - '!$E$40</c:f>
            </c:numRef>
          </c:val>
        </c:ser>
        <c:axId val="2139762911"/>
        <c:axId val="230917400"/>
      </c:barChart>
      <c:catAx>
        <c:axId val="2139762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64 bytes 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917400"/>
      </c:catAx>
      <c:valAx>
        <c:axId val="230917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762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XXV710  - 2+'!$D$21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XXV710  - 2+'!$E$11:$I$11</c:f>
            </c:strRef>
          </c:cat>
          <c:val>
            <c:numRef>
              <c:f>'vRouter DPDK Intel XXV710  - 2+'!$E$21:$I$21</c:f>
            </c:numRef>
          </c:val>
        </c:ser>
        <c:ser>
          <c:idx val="1"/>
          <c:order val="1"/>
          <c:tx>
            <c:strRef>
              <c:f>'vRouter DPDK Intel XXV710  - 2+'!$D$22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XXV710  - 2+'!$E$11:$I$11</c:f>
            </c:strRef>
          </c:cat>
          <c:val>
            <c:numRef>
              <c:f>'vRouter DPDK Intel XXV710  - 2+'!$E$22:$I$22</c:f>
            </c:numRef>
          </c:val>
        </c:ser>
        <c:ser>
          <c:idx val="2"/>
          <c:order val="2"/>
          <c:tx>
            <c:strRef>
              <c:f>'vRouter DPDK Intel XXV710  - 2+'!$D$23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XXV710  - 2+'!$E$11:$I$11</c:f>
            </c:strRef>
          </c:cat>
          <c:val>
            <c:numRef>
              <c:f>'vRouter DPDK Intel XXV710  - 2+'!$E$23:$I$23</c:f>
            </c:numRef>
          </c:val>
        </c:ser>
        <c:axId val="534130403"/>
        <c:axId val="1349858079"/>
      </c:barChart>
      <c:catAx>
        <c:axId val="534130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858079"/>
      </c:catAx>
      <c:valAx>
        <c:axId val="1349858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130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'82599ES vs x710 vs xxv710'!$D$21</c:f>
            </c:strRef>
          </c:tx>
          <c:spPr>
            <a:solidFill>
              <a:schemeClr val="accent1"/>
            </a:solidFill>
          </c:spPr>
          <c:cat>
            <c:strRef>
              <c:f>'82599ES vs x710 vs xxv710'!$E$11:$I$11</c:f>
            </c:strRef>
          </c:cat>
          <c:val>
            <c:numRef>
              <c:f>'82599ES vs x710 vs xxv710'!$E$21:$I$21</c:f>
            </c:numRef>
          </c:val>
        </c:ser>
        <c:ser>
          <c:idx val="1"/>
          <c:order val="1"/>
          <c:tx>
            <c:strRef>
              <c:f>'82599ES vs x710 vs xxv710'!$D$22</c:f>
            </c:strRef>
          </c:tx>
          <c:spPr>
            <a:solidFill>
              <a:schemeClr val="accent2"/>
            </a:solidFill>
          </c:spPr>
          <c:cat>
            <c:strRef>
              <c:f>'82599ES vs x710 vs xxv710'!$E$11:$I$11</c:f>
            </c:strRef>
          </c:cat>
          <c:val>
            <c:numRef>
              <c:f>'82599ES vs x710 vs xxv710'!$E$22:$I$22</c:f>
            </c:numRef>
          </c:val>
        </c:ser>
        <c:ser>
          <c:idx val="2"/>
          <c:order val="2"/>
          <c:tx>
            <c:strRef>
              <c:f>'82599ES vs x710 vs xxv710'!$D$23</c:f>
            </c:strRef>
          </c:tx>
          <c:spPr>
            <a:solidFill>
              <a:schemeClr val="accent3"/>
            </a:solidFill>
          </c:spPr>
          <c:cat>
            <c:strRef>
              <c:f>'82599ES vs x710 vs xxv710'!$E$11:$I$11</c:f>
            </c:strRef>
          </c:cat>
          <c:val>
            <c:numRef>
              <c:f>'82599ES vs x710 vs xxv710'!$E$23:$I$23</c:f>
            </c:numRef>
          </c:val>
        </c:ser>
        <c:axId val="1602261271"/>
        <c:axId val="625333494"/>
      </c:barChart>
      <c:catAx>
        <c:axId val="1602261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333494"/>
      </c:catAx>
      <c:valAx>
        <c:axId val="625333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2261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Throughput Gbps [TX+RX]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'82599ES vs x710 vs xxv710'!$D$12</c:f>
            </c:strRef>
          </c:tx>
          <c:spPr>
            <a:solidFill>
              <a:schemeClr val="accent1"/>
            </a:solidFill>
          </c:spPr>
          <c:cat>
            <c:strRef>
              <c:f>'82599ES vs x710 vs xxv710'!$E$11:$I$11</c:f>
            </c:strRef>
          </c:cat>
          <c:val>
            <c:numRef>
              <c:f>'82599ES vs x710 vs xxv710'!$E$12:$I$12</c:f>
            </c:numRef>
          </c:val>
        </c:ser>
        <c:ser>
          <c:idx val="1"/>
          <c:order val="1"/>
          <c:tx>
            <c:strRef>
              <c:f>'82599ES vs x710 vs xxv710'!$D$13</c:f>
            </c:strRef>
          </c:tx>
          <c:spPr>
            <a:solidFill>
              <a:schemeClr val="accent2"/>
            </a:solidFill>
          </c:spPr>
          <c:cat>
            <c:strRef>
              <c:f>'82599ES vs x710 vs xxv710'!$E$11:$I$11</c:f>
            </c:strRef>
          </c:cat>
          <c:val>
            <c:numRef>
              <c:f>'82599ES vs x710 vs xxv710'!$E$13:$I$13</c:f>
            </c:numRef>
          </c:val>
        </c:ser>
        <c:ser>
          <c:idx val="2"/>
          <c:order val="2"/>
          <c:tx>
            <c:strRef>
              <c:f>'82599ES vs x710 vs xxv710'!$D$14</c:f>
            </c:strRef>
          </c:tx>
          <c:spPr>
            <a:solidFill>
              <a:schemeClr val="accent3"/>
            </a:solidFill>
          </c:spPr>
          <c:cat>
            <c:strRef>
              <c:f>'82599ES vs x710 vs xxv710'!$E$11:$I$11</c:f>
            </c:strRef>
          </c:cat>
          <c:val>
            <c:numRef>
              <c:f>'82599ES vs x710 vs xxv710'!$E$14:$I$14</c:f>
            </c:numRef>
          </c:val>
        </c:ser>
        <c:axId val="905038500"/>
        <c:axId val="737898571"/>
      </c:barChart>
      <c:catAx>
        <c:axId val="905038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898571"/>
      </c:catAx>
      <c:valAx>
        <c:axId val="737898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038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'82599ES vs x710 vs xxv710'!$D$36</c:f>
            </c:strRef>
          </c:tx>
          <c:spPr>
            <a:solidFill>
              <a:schemeClr val="accent1"/>
            </a:solidFill>
          </c:spPr>
          <c:cat>
            <c:strRef>
              <c:f>'82599ES vs x710 vs xxv710'!$E$11:$I$11</c:f>
            </c:strRef>
          </c:cat>
          <c:val>
            <c:numRef>
              <c:f>'82599ES vs x710 vs xxv710'!$E$36:$I$36</c:f>
            </c:numRef>
          </c:val>
        </c:ser>
        <c:ser>
          <c:idx val="1"/>
          <c:order val="1"/>
          <c:tx>
            <c:strRef>
              <c:f>'82599ES vs x710 vs xxv710'!$D$37</c:f>
            </c:strRef>
          </c:tx>
          <c:spPr>
            <a:solidFill>
              <a:schemeClr val="accent2"/>
            </a:solidFill>
          </c:spPr>
          <c:cat>
            <c:strRef>
              <c:f>'82599ES vs x710 vs xxv710'!$E$11:$I$11</c:f>
            </c:strRef>
          </c:cat>
          <c:val>
            <c:numRef>
              <c:f>'82599ES vs x710 vs xxv710'!$E$37:$I$37</c:f>
            </c:numRef>
          </c:val>
        </c:ser>
        <c:ser>
          <c:idx val="2"/>
          <c:order val="2"/>
          <c:tx>
            <c:strRef>
              <c:f>'82599ES vs x710 vs xxv710'!$D$38</c:f>
            </c:strRef>
          </c:tx>
          <c:spPr>
            <a:solidFill>
              <a:schemeClr val="accent3"/>
            </a:solidFill>
          </c:spPr>
          <c:cat>
            <c:strRef>
              <c:f>'82599ES vs x710 vs xxv710'!$E$11:$I$11</c:f>
            </c:strRef>
          </c:cat>
          <c:val>
            <c:numRef>
              <c:f>'82599ES vs x710 vs xxv710'!$E$38:$I$38</c:f>
            </c:numRef>
          </c:val>
        </c:ser>
        <c:axId val="1075253860"/>
        <c:axId val="190139700"/>
      </c:barChart>
      <c:catAx>
        <c:axId val="1075253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39700"/>
      </c:catAx>
      <c:valAx>
        <c:axId val="190139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2538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Throughput Gbps [TX+RX]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'82599ES vs x710 vs xxv710'!$D$27</c:f>
            </c:strRef>
          </c:tx>
          <c:spPr>
            <a:solidFill>
              <a:schemeClr val="accent1"/>
            </a:solidFill>
          </c:spPr>
          <c:cat>
            <c:strRef>
              <c:f>'82599ES vs x710 vs xxv710'!$E$11:$I$11</c:f>
            </c:strRef>
          </c:cat>
          <c:val>
            <c:numRef>
              <c:f>'82599ES vs x710 vs xxv710'!$E$27:$I$27</c:f>
            </c:numRef>
          </c:val>
        </c:ser>
        <c:ser>
          <c:idx val="1"/>
          <c:order val="1"/>
          <c:tx>
            <c:strRef>
              <c:f>'82599ES vs x710 vs xxv710'!$D$28</c:f>
            </c:strRef>
          </c:tx>
          <c:spPr>
            <a:solidFill>
              <a:schemeClr val="accent2"/>
            </a:solidFill>
          </c:spPr>
          <c:cat>
            <c:strRef>
              <c:f>'82599ES vs x710 vs xxv710'!$E$11:$I$11</c:f>
            </c:strRef>
          </c:cat>
          <c:val>
            <c:numRef>
              <c:f>'82599ES vs x710 vs xxv710'!$E$28:$I$28</c:f>
            </c:numRef>
          </c:val>
        </c:ser>
        <c:ser>
          <c:idx val="2"/>
          <c:order val="2"/>
          <c:tx>
            <c:strRef>
              <c:f>'82599ES vs x710 vs xxv710'!$D$29</c:f>
            </c:strRef>
          </c:tx>
          <c:spPr>
            <a:solidFill>
              <a:schemeClr val="accent3"/>
            </a:solidFill>
          </c:spPr>
          <c:cat>
            <c:strRef>
              <c:f>'82599ES vs x710 vs xxv710'!$E$11:$I$11</c:f>
            </c:strRef>
          </c:cat>
          <c:val>
            <c:numRef>
              <c:f>'82599ES vs x710 vs xxv710'!$E$29:$I$29</c:f>
            </c:numRef>
          </c:val>
        </c:ser>
        <c:axId val="920624425"/>
        <c:axId val="952179813"/>
      </c:barChart>
      <c:catAx>
        <c:axId val="920624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179813"/>
      </c:catAx>
      <c:valAx>
        <c:axId val="952179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0624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X710  - 2+2H'!$D$11</c:f>
            </c:strRef>
          </c:tx>
          <c:cat>
            <c:strRef>
              <c:f>'vRouter DPDK Intel X710  - 2+2H'!$E$11:$I$11</c:f>
            </c:strRef>
          </c:cat>
          <c:val>
            <c:numRef>
              <c:f>'vRouter DPDK Intel X710  - 2+2H'!$E$11:$I$11</c:f>
            </c:numRef>
          </c:val>
        </c:ser>
        <c:axId val="1612397503"/>
        <c:axId val="89131014"/>
      </c:barChart>
      <c:catAx>
        <c:axId val="1612397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31014"/>
      </c:catAx>
      <c:valAx>
        <c:axId val="89131014"/>
        <c:scaling>
          <c:orientation val="minMax"/>
        </c:scaling>
        <c:delete val="0"/>
        <c:axPos val="l"/>
        <c:numFmt formatCode="General" sourceLinked="1"/>
        <c:tickLblPos val="nextTo"/>
        <c:spPr>
          <a:ln>
            <a:noFill/>
          </a:ln>
        </c:spPr>
        <c:crossAx val="16123975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avg latency '!$O$67</c:f>
            </c:strRef>
          </c:tx>
          <c:spPr>
            <a:solidFill>
              <a:schemeClr val="accent1"/>
            </a:solidFill>
          </c:spPr>
          <c:cat>
            <c:strRef>
              <c:f>'various avg latency '!$P$54:$T$54</c:f>
            </c:strRef>
          </c:cat>
          <c:val>
            <c:numRef>
              <c:f>'various avg latency '!$P$67:$T$67</c:f>
            </c:numRef>
          </c:val>
        </c:ser>
        <c:ser>
          <c:idx val="1"/>
          <c:order val="1"/>
          <c:tx>
            <c:strRef>
              <c:f>'various avg latency '!$O$68</c:f>
            </c:strRef>
          </c:tx>
          <c:spPr>
            <a:solidFill>
              <a:schemeClr val="accent2"/>
            </a:solidFill>
          </c:spPr>
          <c:cat>
            <c:strRef>
              <c:f>'various avg latency '!$P$54:$T$54</c:f>
            </c:strRef>
          </c:cat>
          <c:val>
            <c:numRef>
              <c:f>'various avg latency '!$P$68:$T$68</c:f>
            </c:numRef>
          </c:val>
        </c:ser>
        <c:ser>
          <c:idx val="2"/>
          <c:order val="2"/>
          <c:tx>
            <c:strRef>
              <c:f>'various avg latency '!$O$69</c:f>
            </c:strRef>
          </c:tx>
          <c:spPr>
            <a:solidFill>
              <a:schemeClr val="accent3"/>
            </a:solidFill>
          </c:spPr>
          <c:cat>
            <c:strRef>
              <c:f>'various avg latency '!$P$54:$T$54</c:f>
            </c:strRef>
          </c:cat>
          <c:val>
            <c:numRef>
              <c:f>'various avg latency '!$P$69:$T$69</c:f>
            </c:numRef>
          </c:val>
        </c:ser>
        <c:ser>
          <c:idx val="3"/>
          <c:order val="3"/>
          <c:tx>
            <c:strRef>
              <c:f>'various avg latency '!$O$70</c:f>
            </c:strRef>
          </c:tx>
          <c:spPr>
            <a:solidFill>
              <a:schemeClr val="accent4"/>
            </a:solidFill>
          </c:spPr>
          <c:cat>
            <c:strRef>
              <c:f>'various avg latency '!$P$54:$T$54</c:f>
            </c:strRef>
          </c:cat>
          <c:val>
            <c:numRef>
              <c:f>'various avg latency '!$P$70:$T$70</c:f>
            </c:numRef>
          </c:val>
        </c:ser>
        <c:axId val="548344641"/>
        <c:axId val="357348005"/>
      </c:barChart>
      <c:catAx>
        <c:axId val="548344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348005"/>
      </c:catAx>
      <c:valAx>
        <c:axId val="357348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3446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Throughput Gbps [TX+RX]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avg latency '!$O$55</c:f>
            </c:strRef>
          </c:tx>
          <c:spPr>
            <a:solidFill>
              <a:schemeClr val="accent1"/>
            </a:solidFill>
          </c:spPr>
          <c:cat>
            <c:strRef>
              <c:f>'various avg latency '!$P$54:$T$54</c:f>
            </c:strRef>
          </c:cat>
          <c:val>
            <c:numRef>
              <c:f>'various avg latency '!$P$55:$T$55</c:f>
            </c:numRef>
          </c:val>
        </c:ser>
        <c:ser>
          <c:idx val="1"/>
          <c:order val="1"/>
          <c:tx>
            <c:strRef>
              <c:f>'various avg latency '!$O$56</c:f>
            </c:strRef>
          </c:tx>
          <c:spPr>
            <a:solidFill>
              <a:schemeClr val="accent2"/>
            </a:solidFill>
          </c:spPr>
          <c:cat>
            <c:strRef>
              <c:f>'various avg latency '!$P$54:$T$54</c:f>
            </c:strRef>
          </c:cat>
          <c:val>
            <c:numRef>
              <c:f>'various avg latency '!$P$56:$T$56</c:f>
            </c:numRef>
          </c:val>
        </c:ser>
        <c:ser>
          <c:idx val="2"/>
          <c:order val="2"/>
          <c:tx>
            <c:strRef>
              <c:f>'various avg latency '!$O$57</c:f>
            </c:strRef>
          </c:tx>
          <c:spPr>
            <a:solidFill>
              <a:schemeClr val="accent3"/>
            </a:solidFill>
          </c:spPr>
          <c:cat>
            <c:strRef>
              <c:f>'various avg latency '!$P$54:$T$54</c:f>
            </c:strRef>
          </c:cat>
          <c:val>
            <c:numRef>
              <c:f>'various avg latency '!$P$57:$T$57</c:f>
            </c:numRef>
          </c:val>
        </c:ser>
        <c:ser>
          <c:idx val="3"/>
          <c:order val="3"/>
          <c:tx>
            <c:strRef>
              <c:f>'various avg latency '!$O$58</c:f>
            </c:strRef>
          </c:tx>
          <c:spPr>
            <a:solidFill>
              <a:schemeClr val="accent4"/>
            </a:solidFill>
          </c:spPr>
          <c:cat>
            <c:strRef>
              <c:f>'various avg latency '!$P$54:$T$54</c:f>
            </c:strRef>
          </c:cat>
          <c:val>
            <c:numRef>
              <c:f>'various avg latency '!$P$58:$T$58</c:f>
            </c:numRef>
          </c:val>
        </c:ser>
        <c:axId val="1246567149"/>
        <c:axId val="494924178"/>
      </c:barChart>
      <c:catAx>
        <c:axId val="1246567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924178"/>
      </c:catAx>
      <c:valAx>
        <c:axId val="494924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567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avg latency '!$O$87</c:f>
            </c:strRef>
          </c:tx>
          <c:spPr>
            <a:solidFill>
              <a:schemeClr val="accent1"/>
            </a:solidFill>
          </c:spPr>
          <c:cat>
            <c:strRef>
              <c:f>'various avg latency '!$P$54:$T$54</c:f>
            </c:strRef>
          </c:cat>
          <c:val>
            <c:numRef>
              <c:f>'various avg latency '!$P$87:$T$87</c:f>
            </c:numRef>
          </c:val>
        </c:ser>
        <c:ser>
          <c:idx val="1"/>
          <c:order val="1"/>
          <c:tx>
            <c:strRef>
              <c:f>'various avg latency '!$O$88</c:f>
            </c:strRef>
          </c:tx>
          <c:spPr>
            <a:solidFill>
              <a:schemeClr val="accent2"/>
            </a:solidFill>
          </c:spPr>
          <c:cat>
            <c:strRef>
              <c:f>'various avg latency '!$P$54:$T$54</c:f>
            </c:strRef>
          </c:cat>
          <c:val>
            <c:numRef>
              <c:f>'various avg latency '!$P$88:$T$88</c:f>
            </c:numRef>
          </c:val>
        </c:ser>
        <c:ser>
          <c:idx val="2"/>
          <c:order val="2"/>
          <c:tx>
            <c:strRef>
              <c:f>'various avg latency '!$O$89</c:f>
            </c:strRef>
          </c:tx>
          <c:spPr>
            <a:solidFill>
              <a:schemeClr val="accent3"/>
            </a:solidFill>
          </c:spPr>
          <c:cat>
            <c:strRef>
              <c:f>'various avg latency '!$P$54:$T$54</c:f>
            </c:strRef>
          </c:cat>
          <c:val>
            <c:numRef>
              <c:f>'various avg latency '!$P$89:$T$89</c:f>
            </c:numRef>
          </c:val>
        </c:ser>
        <c:ser>
          <c:idx val="3"/>
          <c:order val="3"/>
          <c:tx>
            <c:strRef>
              <c:f>'various avg latency '!$O$90</c:f>
            </c:strRef>
          </c:tx>
          <c:spPr>
            <a:solidFill>
              <a:schemeClr val="accent4"/>
            </a:solidFill>
          </c:spPr>
          <c:cat>
            <c:strRef>
              <c:f>'various avg latency '!$P$54:$T$54</c:f>
            </c:strRef>
          </c:cat>
          <c:val>
            <c:numRef>
              <c:f>'various avg latency '!$P$90:$T$90</c:f>
            </c:numRef>
          </c:val>
        </c:ser>
        <c:axId val="198215108"/>
        <c:axId val="364743633"/>
      </c:barChart>
      <c:catAx>
        <c:axId val="198215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743633"/>
      </c:catAx>
      <c:valAx>
        <c:axId val="364743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15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Total Throughput Gbps [TX+RX]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avg latency '!$O$75</c:f>
            </c:strRef>
          </c:tx>
          <c:spPr>
            <a:solidFill>
              <a:schemeClr val="accent1"/>
            </a:solidFill>
          </c:spPr>
          <c:cat>
            <c:strRef>
              <c:f>'various avg latency '!$P$54:$T$54</c:f>
            </c:strRef>
          </c:cat>
          <c:val>
            <c:numRef>
              <c:f>'various avg latency '!$P$75:$T$75</c:f>
            </c:numRef>
          </c:val>
        </c:ser>
        <c:ser>
          <c:idx val="1"/>
          <c:order val="1"/>
          <c:tx>
            <c:strRef>
              <c:f>'various avg latency '!$O$76</c:f>
            </c:strRef>
          </c:tx>
          <c:spPr>
            <a:solidFill>
              <a:schemeClr val="accent2"/>
            </a:solidFill>
          </c:spPr>
          <c:cat>
            <c:strRef>
              <c:f>'various avg latency '!$P$54:$T$54</c:f>
            </c:strRef>
          </c:cat>
          <c:val>
            <c:numRef>
              <c:f>'various avg latency '!$P$76:$T$76</c:f>
            </c:numRef>
          </c:val>
        </c:ser>
        <c:ser>
          <c:idx val="2"/>
          <c:order val="2"/>
          <c:tx>
            <c:strRef>
              <c:f>'various avg latency '!$O$77</c:f>
            </c:strRef>
          </c:tx>
          <c:spPr>
            <a:solidFill>
              <a:schemeClr val="accent3"/>
            </a:solidFill>
          </c:spPr>
          <c:cat>
            <c:strRef>
              <c:f>'various avg latency '!$P$54:$T$54</c:f>
            </c:strRef>
          </c:cat>
          <c:val>
            <c:numRef>
              <c:f>'various avg latency '!$P$77:$T$77</c:f>
            </c:numRef>
          </c:val>
        </c:ser>
        <c:ser>
          <c:idx val="3"/>
          <c:order val="3"/>
          <c:tx>
            <c:strRef>
              <c:f>'various avg latency '!$O$78</c:f>
            </c:strRef>
          </c:tx>
          <c:spPr>
            <a:solidFill>
              <a:schemeClr val="accent4"/>
            </a:solidFill>
          </c:spPr>
          <c:cat>
            <c:strRef>
              <c:f>'various avg latency '!$P$54:$T$54</c:f>
            </c:strRef>
          </c:cat>
          <c:val>
            <c:numRef>
              <c:f>'various avg latency '!$P$78:$T$78</c:f>
            </c:numRef>
          </c:val>
        </c:ser>
        <c:axId val="1136542398"/>
        <c:axId val="1098855524"/>
      </c:barChart>
      <c:catAx>
        <c:axId val="1136542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855524"/>
      </c:catAx>
      <c:valAx>
        <c:axId val="1098855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542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 - MPLSoUDP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82599 ES  - '!$D$21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82599 ES  - '!$E$21:$I$21</c:f>
            </c:numRef>
          </c:val>
        </c:ser>
        <c:axId val="1910106845"/>
        <c:axId val="3383295"/>
      </c:barChart>
      <c:catAx>
        <c:axId val="1910106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3295"/>
      </c:catAx>
      <c:valAx>
        <c:axId val="3383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1068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X710 version'!$D$15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version'!$E$11:$I$11</c:f>
            </c:strRef>
          </c:cat>
          <c:val>
            <c:numRef>
              <c:f>'vRouter DPDK Intel X710 version'!$E$15:$I$15</c:f>
            </c:numRef>
          </c:val>
        </c:ser>
        <c:axId val="1663372388"/>
        <c:axId val="1562726536"/>
      </c:barChart>
      <c:catAx>
        <c:axId val="1663372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Frame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726536"/>
      </c:catAx>
      <c:valAx>
        <c:axId val="1562726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372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X710 version'!$D$23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version'!$E$11:$I$11</c:f>
            </c:strRef>
          </c:cat>
          <c:val>
            <c:numRef>
              <c:f>'vRouter DPDK Intel X710 version'!$E$23:$I$23</c:f>
            </c:numRef>
          </c:val>
        </c:ser>
        <c:axId val="1458905686"/>
        <c:axId val="1969893217"/>
      </c:barChart>
      <c:catAx>
        <c:axId val="1458905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Frame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893217"/>
      </c:catAx>
      <c:valAx>
        <c:axId val="1969893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905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Packet Mode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cores'!$H$18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'Various cores'!$D$19:$D$23</c:f>
            </c:strRef>
          </c:cat>
          <c:val>
            <c:numRef>
              <c:f>'Various cores'!$H$19:$H$23</c:f>
            </c:numRef>
          </c:val>
        </c:ser>
        <c:axId val="1378739659"/>
        <c:axId val="1251129364"/>
      </c:barChart>
      <c:catAx>
        <c:axId val="1378739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vRouter forwarding core allocation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129364"/>
      </c:catAx>
      <c:valAx>
        <c:axId val="1251129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73965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Packet Mode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cores'!$G$18</c:f>
            </c:strRef>
          </c:tx>
          <c:spPr>
            <a:solidFill>
              <a:srgbClr val="F1C23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'Various cores'!$D$19:$D$23</c:f>
            </c:strRef>
          </c:cat>
          <c:val>
            <c:numRef>
              <c:f>'Various cores'!$G$19:$G$23</c:f>
            </c:numRef>
          </c:val>
        </c:ser>
        <c:axId val="1859050972"/>
        <c:axId val="1141116469"/>
      </c:barChart>
      <c:catAx>
        <c:axId val="1859050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vRouter forwarding core allocation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116469"/>
      </c:catAx>
      <c:valAx>
        <c:axId val="1141116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05097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Packet Mode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cores'!$H$25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'Various cores'!$D$26:$D$29</c:f>
            </c:strRef>
          </c:cat>
          <c:val>
            <c:numRef>
              <c:f>'Various cores'!$H$26:$H$29</c:f>
            </c:numRef>
          </c:val>
        </c:ser>
        <c:axId val="1854286626"/>
        <c:axId val="1274699217"/>
      </c:barChart>
      <c:catAx>
        <c:axId val="1854286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vRouter forwarding core allocation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699217"/>
      </c:catAx>
      <c:valAx>
        <c:axId val="1274699217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28662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Packet Mode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cores'!$G$25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'Various cores'!$D$26:$D$29</c:f>
            </c:strRef>
          </c:cat>
          <c:val>
            <c:numRef>
              <c:f>'Various cores'!$G$26:$G$29</c:f>
            </c:numRef>
          </c:val>
        </c:ser>
        <c:axId val="1528609525"/>
        <c:axId val="1846886621"/>
      </c:barChart>
      <c:catAx>
        <c:axId val="1528609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vRouter forwarding core allocation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886621"/>
      </c:catAx>
      <c:valAx>
        <c:axId val="1846886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60952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Flow Mode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cores'!$H$32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'Various cores'!$D$33:$D$37</c:f>
            </c:strRef>
          </c:cat>
          <c:val>
            <c:numRef>
              <c:f>'Various cores'!$H$33:$H$37</c:f>
            </c:numRef>
          </c:val>
        </c:ser>
        <c:axId val="916915965"/>
        <c:axId val="2062404018"/>
      </c:barChart>
      <c:catAx>
        <c:axId val="916915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vRouter forwarding core allocation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404018"/>
      </c:catAx>
      <c:valAx>
        <c:axId val="2062404018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91596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Flow Mode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cores'!$G$32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'Various cores'!$D$33:$D$37</c:f>
            </c:strRef>
          </c:cat>
          <c:val>
            <c:numRef>
              <c:f>'Various cores'!$G$33:$G$37</c:f>
            </c:numRef>
          </c:val>
        </c:ser>
        <c:axId val="2122304458"/>
        <c:axId val="1070140163"/>
      </c:barChart>
      <c:catAx>
        <c:axId val="2122304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vRouter forwarding core allocation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140163"/>
      </c:catAx>
      <c:valAx>
        <c:axId val="1070140163"/>
        <c:scaling>
          <c:orientation val="minMax"/>
          <c:max val="1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30445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Flow Mode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cores'!$H$40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'Various cores'!$D$41:$D$44</c:f>
            </c:strRef>
          </c:cat>
          <c:val>
            <c:numRef>
              <c:f>'Various cores'!$H$41:$H$44</c:f>
            </c:numRef>
          </c:val>
        </c:ser>
        <c:axId val="1904752858"/>
        <c:axId val="2011325939"/>
      </c:barChart>
      <c:catAx>
        <c:axId val="1904752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vRouter forwarding core allocation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325939"/>
      </c:catAx>
      <c:valAx>
        <c:axId val="2011325939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75285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Flow Mode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cores'!$G$40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'Various cores'!$D$41:$D$44</c:f>
            </c:strRef>
          </c:cat>
          <c:val>
            <c:numRef>
              <c:f>'Various cores'!$G$41:$G$44</c:f>
            </c:numRef>
          </c:val>
        </c:ser>
        <c:axId val="628522943"/>
        <c:axId val="462938848"/>
      </c:barChart>
      <c:catAx>
        <c:axId val="628522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vRouter forwarding core allocation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938848"/>
      </c:catAx>
      <c:valAx>
        <c:axId val="462938848"/>
        <c:scaling>
          <c:orientation val="minMax"/>
          <c:max val="1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52294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 - MPLSoUDP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82599 ES  - '!$D$39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82599 ES  - '!$E$39:$I$39</c:f>
            </c:numRef>
          </c:val>
        </c:ser>
        <c:axId val="1935399103"/>
        <c:axId val="253915254"/>
      </c:barChart>
      <c:catAx>
        <c:axId val="1935399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915254"/>
      </c:catAx>
      <c:valAx>
        <c:axId val="253915254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399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non-HT vs HT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cores'!$D$46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'Various cores'!$C$47:$C$48</c:f>
            </c:strRef>
          </c:cat>
          <c:val>
            <c:numRef>
              <c:f>'Various cores'!$D$47:$D$48</c:f>
            </c:numRef>
          </c:val>
        </c:ser>
        <c:axId val="1202049302"/>
        <c:axId val="218877750"/>
      </c:barChart>
      <c:catAx>
        <c:axId val="1202049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vRouter forwarding core allocation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8877750"/>
      </c:catAx>
      <c:valAx>
        <c:axId val="218877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204930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Packet Mode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cores'!$F$18</c:f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'Various cores'!$D$19:$D$23</c:f>
            </c:strRef>
          </c:cat>
          <c:val>
            <c:numRef>
              <c:f>'Various cores'!$F$19:$F$23</c:f>
            </c:numRef>
          </c:val>
        </c:ser>
        <c:axId val="1725064841"/>
        <c:axId val="1467637338"/>
      </c:barChart>
      <c:catAx>
        <c:axId val="1725064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vRouter forwarding core allocation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637338"/>
      </c:catAx>
      <c:valAx>
        <c:axId val="1467637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06484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Packet Mode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cores'!$I$18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'Various cores'!$D$19:$D$23</c:f>
            </c:strRef>
          </c:cat>
          <c:val>
            <c:numRef>
              <c:f>'Various cores'!$I$19:$I$23</c:f>
            </c:numRef>
          </c:val>
        </c:ser>
        <c:axId val="790092401"/>
        <c:axId val="909634283"/>
      </c:barChart>
      <c:catAx>
        <c:axId val="790092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vRouter forwarding core allocation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634283"/>
      </c:catAx>
      <c:valAx>
        <c:axId val="909634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09240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Packet Mode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cores'!$I$25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'Various cores'!$D$26:$D$29</c:f>
            </c:strRef>
          </c:cat>
          <c:val>
            <c:numRef>
              <c:f>'Various cores'!$I$26:$I$29</c:f>
            </c:numRef>
          </c:val>
        </c:ser>
        <c:axId val="839656270"/>
        <c:axId val="257626997"/>
      </c:barChart>
      <c:catAx>
        <c:axId val="839656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vRouter forwarding core allocation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626997"/>
      </c:catAx>
      <c:valAx>
        <c:axId val="257626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65627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Packet Mode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cores'!$F$25</c:f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'Various cores'!$D$26:$D$29</c:f>
            </c:strRef>
          </c:cat>
          <c:val>
            <c:numRef>
              <c:f>'Various cores'!$F$26:$F$29</c:f>
            </c:numRef>
          </c:val>
        </c:ser>
        <c:axId val="1217488309"/>
        <c:axId val="1342101598"/>
      </c:barChart>
      <c:catAx>
        <c:axId val="1217488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vRouter forwarding core allocation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101598"/>
      </c:catAx>
      <c:valAx>
        <c:axId val="1342101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48830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Flow Mode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cores'!$I$32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'Various cores'!$D$19:$D$23</c:f>
            </c:strRef>
          </c:cat>
          <c:val>
            <c:numRef>
              <c:f>'Various cores'!$I$33:$I$37</c:f>
            </c:numRef>
          </c:val>
        </c:ser>
        <c:axId val="472267677"/>
        <c:axId val="1213117002"/>
      </c:barChart>
      <c:catAx>
        <c:axId val="472267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vRouter forwarding core allocation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117002"/>
      </c:catAx>
      <c:valAx>
        <c:axId val="1213117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26767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Flow Mode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cores'!$F$32</c:f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'Various cores'!$D$19:$D$23</c:f>
            </c:strRef>
          </c:cat>
          <c:val>
            <c:numRef>
              <c:f>'Various cores'!$F$33:$F$37</c:f>
            </c:numRef>
          </c:val>
        </c:ser>
        <c:axId val="1466315784"/>
        <c:axId val="2093677214"/>
      </c:barChart>
      <c:catAx>
        <c:axId val="146631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vRouter forwarding core allocation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677214"/>
      </c:catAx>
      <c:valAx>
        <c:axId val="2093677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31578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Flow Mode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cores'!$I$40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'Various cores'!$D$41:$D$44</c:f>
            </c:strRef>
          </c:cat>
          <c:val>
            <c:numRef>
              <c:f>'Various cores'!$I$41:$I$44</c:f>
            </c:numRef>
          </c:val>
        </c:ser>
        <c:axId val="1921812168"/>
        <c:axId val="1135237131"/>
      </c:barChart>
      <c:catAx>
        <c:axId val="192181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vRouter forwarding core allocation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237131"/>
      </c:catAx>
      <c:valAx>
        <c:axId val="1135237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81216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Flow Mode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cores'!$F$40</c:f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'Various cores'!$D$41:$D$44</c:f>
            </c:strRef>
          </c:cat>
          <c:val>
            <c:numRef>
              <c:f>'Various cores'!$F$41:$F$44</c:f>
            </c:numRef>
          </c:val>
        </c:ser>
        <c:axId val="807041629"/>
        <c:axId val="1897217946"/>
      </c:barChart>
      <c:catAx>
        <c:axId val="807041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vRouter forwarding core allocation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217946"/>
      </c:catAx>
      <c:valAx>
        <c:axId val="1897217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Gbps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04162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non-HT vs HT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cores'!$E$46</c:f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'Various cores'!$C$47:$C$48</c:f>
            </c:strRef>
          </c:cat>
          <c:val>
            <c:numRef>
              <c:f>'Various cores'!$E$47:$E$48</c:f>
            </c:numRef>
          </c:val>
        </c:ser>
        <c:axId val="515827674"/>
        <c:axId val="1545092153"/>
      </c:barChart>
      <c:catAx>
        <c:axId val="515827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vRouter forwarding core allocation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092153"/>
      </c:catAx>
      <c:valAx>
        <c:axId val="1545092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82767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 - VxLAN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'vRouter DPDK Intel 82599 ES  - '!$D$23</c:f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'vRouter DPDK Intel X710  - 2+2H'!$E$11:$I$11</c:f>
            </c:strRef>
          </c:cat>
          <c:val>
            <c:numRef>
              <c:f>'vRouter DPDK Intel 82599 ES  - '!$E$23:$I$23</c:f>
            </c:numRef>
          </c:val>
        </c:ser>
        <c:axId val="715680776"/>
        <c:axId val="628567780"/>
      </c:barChart>
      <c:catAx>
        <c:axId val="71568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Packet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567780"/>
      </c:catAx>
      <c:valAx>
        <c:axId val="628567780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6807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flows'!$E$23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'Various flows'!$F$16:$J$16</c:f>
            </c:strRef>
          </c:cat>
          <c:val>
            <c:numRef>
              <c:f>'Various flows'!$F$23:$J$23</c:f>
            </c:numRef>
          </c:val>
        </c:ser>
        <c:axId val="1863293650"/>
        <c:axId val="932734953"/>
      </c:barChart>
      <c:catAx>
        <c:axId val="1863293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Flows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734953"/>
      </c:catAx>
      <c:valAx>
        <c:axId val="932734953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293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'Various flows'!$E$24</c:f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'Various flows'!$F$16:$J$16</c:f>
            </c:strRef>
          </c:cat>
          <c:val>
            <c:numRef>
              <c:f>'Various flows'!$F$24:$J$24</c:f>
            </c:numRef>
          </c:val>
        </c:ser>
        <c:axId val="371734326"/>
        <c:axId val="341772893"/>
      </c:barChart>
      <c:catAx>
        <c:axId val="371734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Flows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772893"/>
      </c:catAx>
      <c:valAx>
        <c:axId val="341772893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734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VM placement performance impact - Mpps/Core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'VM on second NUMA'!$E$24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'VM on second NUMA'!$F$17:$G$17</c:f>
            </c:strRef>
          </c:cat>
          <c:val>
            <c:numRef>
              <c:f>'VM on second NUMA'!$F$24:$G$24</c:f>
            </c:numRef>
          </c:val>
        </c:ser>
        <c:axId val="575235569"/>
        <c:axId val="953737194"/>
      </c:barChart>
      <c:catAx>
        <c:axId val="575235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VM placement 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737194"/>
      </c:catAx>
      <c:valAx>
        <c:axId val="953737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235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VM placement performance impact - Mpps/Core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'VM on second NUMA'!$E$25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'VM on second NUMA'!$F$17:$G$17</c:f>
            </c:strRef>
          </c:cat>
          <c:val>
            <c:numRef>
              <c:f>'VM on second NUMA'!$F$25:$G$25</c:f>
            </c:numRef>
          </c:val>
        </c:ser>
        <c:axId val="323220607"/>
        <c:axId val="518443209"/>
      </c:barChart>
      <c:catAx>
        <c:axId val="323220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VM placement 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443209"/>
      </c:catAx>
      <c:valAx>
        <c:axId val="518443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220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VM placement performance impact - Latency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'VM on second NUMA'!$E$26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'VM on second NUMA'!$F$17:$G$17</c:f>
            </c:strRef>
          </c:cat>
          <c:val>
            <c:numRef>
              <c:f>'VM on second NUMA'!$F$26:$G$26</c:f>
            </c:numRef>
          </c:val>
        </c:ser>
        <c:axId val="1010328920"/>
        <c:axId val="2065619730"/>
      </c:barChart>
      <c:catAx>
        <c:axId val="101032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VM placement 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619730"/>
      </c:catAx>
      <c:valAx>
        <c:axId val="2065619730"/>
        <c:scaling>
          <c:orientation val="minMax"/>
          <c:max val="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328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VM placement performance impact - Latency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'VM on second NUMA'!$E$27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'VM on second NUMA'!$F$17:$G$17</c:f>
            </c:strRef>
          </c:cat>
          <c:val>
            <c:numRef>
              <c:f>'VM on second NUMA'!$F$27:$G$27</c:f>
            </c:numRef>
          </c:val>
        </c:ser>
        <c:axId val="1550689629"/>
        <c:axId val="2006712875"/>
      </c:barChart>
      <c:catAx>
        <c:axId val="1550689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VM placement 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712875"/>
      </c:catAx>
      <c:valAx>
        <c:axId val="2006712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689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'Huge Page 2M vs 1G'!$F$24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'Huge Page 2M vs 1G'!$G$17:$K$17</c:f>
            </c:strRef>
          </c:cat>
          <c:val>
            <c:numRef>
              <c:f>'Huge Page 2M vs 1G'!$G$24:$K$24</c:f>
            </c:numRef>
          </c:val>
        </c:ser>
        <c:ser>
          <c:idx val="1"/>
          <c:order val="1"/>
          <c:tx>
            <c:strRef>
              <c:f>'Huge Page 2M vs 1G'!$F$25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'Huge Page 2M vs 1G'!$G$17:$K$17</c:f>
            </c:strRef>
          </c:cat>
          <c:val>
            <c:numRef>
              <c:f>'Huge Page 2M vs 1G'!$G$25:$K$25</c:f>
            </c:numRef>
          </c:val>
        </c:ser>
        <c:axId val="2045554350"/>
        <c:axId val="821665697"/>
      </c:barChart>
      <c:catAx>
        <c:axId val="2045554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Frame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665697"/>
      </c:catAx>
      <c:valAx>
        <c:axId val="821665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554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Mpps per 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'Huge Page 2M vs 1G'!$F$40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'Huge Page 2M vs 1G'!$G$33:$K$33</c:f>
            </c:strRef>
          </c:cat>
          <c:val>
            <c:numRef>
              <c:f>'Huge Page 2M vs 1G'!$G$40:$K$40</c:f>
            </c:numRef>
          </c:val>
        </c:ser>
        <c:ser>
          <c:idx val="1"/>
          <c:order val="1"/>
          <c:tx>
            <c:strRef>
              <c:f>'Huge Page 2M vs 1G'!$F$41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'Huge Page 2M vs 1G'!$G$33:$K$33</c:f>
            </c:strRef>
          </c:cat>
          <c:val>
            <c:numRef>
              <c:f>'Huge Page 2M vs 1G'!$G$41:$K$41</c:f>
            </c:numRef>
          </c:val>
        </c:ser>
        <c:axId val="2039413617"/>
        <c:axId val="618043910"/>
      </c:barChart>
      <c:catAx>
        <c:axId val="2039413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Frame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043910"/>
      </c:catAx>
      <c:valAx>
        <c:axId val="618043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Mpps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413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Avg. latency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'Huge Page 2M vs 1G'!$F$26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'Huge Page 2M vs 1G'!$G$17:$K$17</c:f>
            </c:strRef>
          </c:cat>
          <c:val>
            <c:numRef>
              <c:f>'Huge Page 2M vs 1G'!$G$26:$K$26</c:f>
            </c:numRef>
          </c:val>
        </c:ser>
        <c:ser>
          <c:idx val="1"/>
          <c:order val="1"/>
          <c:tx>
            <c:strRef>
              <c:f>'Huge Page 2M vs 1G'!$F$27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'Huge Page 2M vs 1G'!$G$17:$K$17</c:f>
            </c:strRef>
          </c:cat>
          <c:val>
            <c:numRef>
              <c:f>'Huge Page 2M vs 1G'!$G$27:$K$27</c:f>
            </c:numRef>
          </c:val>
        </c:ser>
        <c:axId val="1019107641"/>
        <c:axId val="928148877"/>
      </c:barChart>
      <c:catAx>
        <c:axId val="1019107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Frame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148877"/>
      </c:catAx>
      <c:valAx>
        <c:axId val="928148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1076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Avg. latency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'Huge Page 2M vs 1G'!$F$42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'Huge Page 2M vs 1G'!$G$17:$K$17</c:f>
            </c:strRef>
          </c:cat>
          <c:val>
            <c:numRef>
              <c:f>'Huge Page 2M vs 1G'!$G$42:$K$42</c:f>
            </c:numRef>
          </c:val>
        </c:ser>
        <c:ser>
          <c:idx val="1"/>
          <c:order val="1"/>
          <c:tx>
            <c:strRef>
              <c:f>'Huge Page 2M vs 1G'!$F$43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'Huge Page 2M vs 1G'!$G$17:$K$17</c:f>
            </c:strRef>
          </c:cat>
          <c:val>
            <c:numRef>
              <c:f>'Huge Page 2M vs 1G'!$G$43:$K$43</c:f>
            </c:numRef>
          </c:val>
        </c:ser>
        <c:axId val="1317783577"/>
        <c:axId val="432278985"/>
      </c:barChart>
      <c:catAx>
        <c:axId val="1317783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Frame size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278985"/>
      </c:catAx>
      <c:valAx>
        <c:axId val="432278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783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92.xml"/><Relationship Id="rId2" Type="http://schemas.openxmlformats.org/officeDocument/2006/relationships/chart" Target="../charts/chart93.xml"/><Relationship Id="rId3" Type="http://schemas.openxmlformats.org/officeDocument/2006/relationships/chart" Target="../charts/chart94.xml"/><Relationship Id="rId4" Type="http://schemas.openxmlformats.org/officeDocument/2006/relationships/chart" Target="../charts/chart9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6.xml"/><Relationship Id="rId2" Type="http://schemas.openxmlformats.org/officeDocument/2006/relationships/chart" Target="../charts/chart97.xml"/><Relationship Id="rId3" Type="http://schemas.openxmlformats.org/officeDocument/2006/relationships/chart" Target="../charts/chart98.xml"/><Relationship Id="rId4" Type="http://schemas.openxmlformats.org/officeDocument/2006/relationships/chart" Target="../charts/chart9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0.xml"/><Relationship Id="rId2" Type="http://schemas.openxmlformats.org/officeDocument/2006/relationships/chart" Target="../charts/chart101.xml"/><Relationship Id="rId3" Type="http://schemas.openxmlformats.org/officeDocument/2006/relationships/chart" Target="../charts/chart102.xml"/><Relationship Id="rId4" Type="http://schemas.openxmlformats.org/officeDocument/2006/relationships/chart" Target="../charts/chart103.xml"/><Relationship Id="rId5" Type="http://schemas.openxmlformats.org/officeDocument/2006/relationships/chart" Target="../charts/chart104.xml"/><Relationship Id="rId6" Type="http://schemas.openxmlformats.org/officeDocument/2006/relationships/chart" Target="../charts/chart105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6.xml"/><Relationship Id="rId2" Type="http://schemas.openxmlformats.org/officeDocument/2006/relationships/chart" Target="../charts/chart107.xml"/><Relationship Id="rId3" Type="http://schemas.openxmlformats.org/officeDocument/2006/relationships/chart" Target="../charts/chart108.xml"/><Relationship Id="rId4" Type="http://schemas.openxmlformats.org/officeDocument/2006/relationships/chart" Target="../charts/chart109.xml"/><Relationship Id="rId5" Type="http://schemas.openxmlformats.org/officeDocument/2006/relationships/chart" Target="../charts/chart110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1.xml"/><Relationship Id="rId2" Type="http://schemas.openxmlformats.org/officeDocument/2006/relationships/chart" Target="../charts/chart112.xml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chart" Target="../charts/chart40.xml"/><Relationship Id="rId11" Type="http://schemas.openxmlformats.org/officeDocument/2006/relationships/chart" Target="../charts/chart31.xml"/><Relationship Id="rId10" Type="http://schemas.openxmlformats.org/officeDocument/2006/relationships/chart" Target="../charts/chart30.xml"/><Relationship Id="rId13" Type="http://schemas.openxmlformats.org/officeDocument/2006/relationships/chart" Target="../charts/chart33.xml"/><Relationship Id="rId12" Type="http://schemas.openxmlformats.org/officeDocument/2006/relationships/chart" Target="../charts/chart32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5" Type="http://schemas.openxmlformats.org/officeDocument/2006/relationships/chart" Target="../charts/chart35.xml"/><Relationship Id="rId14" Type="http://schemas.openxmlformats.org/officeDocument/2006/relationships/chart" Target="../charts/chart34.xml"/><Relationship Id="rId17" Type="http://schemas.openxmlformats.org/officeDocument/2006/relationships/chart" Target="../charts/chart37.xml"/><Relationship Id="rId16" Type="http://schemas.openxmlformats.org/officeDocument/2006/relationships/chart" Target="../charts/chart36.xml"/><Relationship Id="rId5" Type="http://schemas.openxmlformats.org/officeDocument/2006/relationships/chart" Target="../charts/chart25.xml"/><Relationship Id="rId19" Type="http://schemas.openxmlformats.org/officeDocument/2006/relationships/chart" Target="../charts/chart39.xml"/><Relationship Id="rId6" Type="http://schemas.openxmlformats.org/officeDocument/2006/relationships/chart" Target="../charts/chart26.xml"/><Relationship Id="rId18" Type="http://schemas.openxmlformats.org/officeDocument/2006/relationships/chart" Target="../charts/chart38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3.xml"/><Relationship Id="rId2" Type="http://schemas.openxmlformats.org/officeDocument/2006/relationships/chart" Target="../charts/chart114.xml"/></Relationships>
</file>

<file path=xl/drawings/_rels/drawing3.xml.rels><?xml version="1.0" encoding="UTF-8" standalone="yes"?><Relationships xmlns="http://schemas.openxmlformats.org/package/2006/relationships"><Relationship Id="rId20" Type="http://schemas.openxmlformats.org/officeDocument/2006/relationships/chart" Target="../charts/chart60.xml"/><Relationship Id="rId11" Type="http://schemas.openxmlformats.org/officeDocument/2006/relationships/chart" Target="../charts/chart51.xml"/><Relationship Id="rId10" Type="http://schemas.openxmlformats.org/officeDocument/2006/relationships/chart" Target="../charts/chart50.xml"/><Relationship Id="rId13" Type="http://schemas.openxmlformats.org/officeDocument/2006/relationships/chart" Target="../charts/chart53.xml"/><Relationship Id="rId12" Type="http://schemas.openxmlformats.org/officeDocument/2006/relationships/chart" Target="../charts/chart52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5" Type="http://schemas.openxmlformats.org/officeDocument/2006/relationships/chart" Target="../charts/chart55.xml"/><Relationship Id="rId14" Type="http://schemas.openxmlformats.org/officeDocument/2006/relationships/chart" Target="../charts/chart54.xml"/><Relationship Id="rId17" Type="http://schemas.openxmlformats.org/officeDocument/2006/relationships/chart" Target="../charts/chart57.xml"/><Relationship Id="rId16" Type="http://schemas.openxmlformats.org/officeDocument/2006/relationships/chart" Target="../charts/chart56.xml"/><Relationship Id="rId5" Type="http://schemas.openxmlformats.org/officeDocument/2006/relationships/chart" Target="../charts/chart45.xml"/><Relationship Id="rId19" Type="http://schemas.openxmlformats.org/officeDocument/2006/relationships/chart" Target="../charts/chart59.xml"/><Relationship Id="rId6" Type="http://schemas.openxmlformats.org/officeDocument/2006/relationships/chart" Target="../charts/chart46.xml"/><Relationship Id="rId18" Type="http://schemas.openxmlformats.org/officeDocument/2006/relationships/chart" Target="../charts/chart58.xml"/><Relationship Id="rId7" Type="http://schemas.openxmlformats.org/officeDocument/2006/relationships/chart" Target="../charts/chart47.xml"/><Relationship Id="rId8" Type="http://schemas.openxmlformats.org/officeDocument/2006/relationships/chart" Target="../charts/chart4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Relationship Id="rId4" Type="http://schemas.openxmlformats.org/officeDocument/2006/relationships/chart" Target="../charts/chart6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5" Type="http://schemas.openxmlformats.org/officeDocument/2006/relationships/chart" Target="../charts/chart6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0.xml"/><Relationship Id="rId2" Type="http://schemas.openxmlformats.org/officeDocument/2006/relationships/chart" Target="../charts/chart71.xml"/></Relationships>
</file>

<file path=xl/drawings/_rels/drawing8.xml.rels><?xml version="1.0" encoding="UTF-8" standalone="yes"?><Relationships xmlns="http://schemas.openxmlformats.org/package/2006/relationships"><Relationship Id="rId11" Type="http://schemas.openxmlformats.org/officeDocument/2006/relationships/chart" Target="../charts/chart82.xml"/><Relationship Id="rId10" Type="http://schemas.openxmlformats.org/officeDocument/2006/relationships/chart" Target="../charts/chart81.xml"/><Relationship Id="rId13" Type="http://schemas.openxmlformats.org/officeDocument/2006/relationships/chart" Target="../charts/chart84.xml"/><Relationship Id="rId12" Type="http://schemas.openxmlformats.org/officeDocument/2006/relationships/chart" Target="../charts/chart83.xml"/><Relationship Id="rId1" Type="http://schemas.openxmlformats.org/officeDocument/2006/relationships/chart" Target="../charts/chart72.xml"/><Relationship Id="rId2" Type="http://schemas.openxmlformats.org/officeDocument/2006/relationships/chart" Target="../charts/chart73.xml"/><Relationship Id="rId3" Type="http://schemas.openxmlformats.org/officeDocument/2006/relationships/chart" Target="../charts/chart74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Relationship Id="rId15" Type="http://schemas.openxmlformats.org/officeDocument/2006/relationships/chart" Target="../charts/chart86.xml"/><Relationship Id="rId14" Type="http://schemas.openxmlformats.org/officeDocument/2006/relationships/chart" Target="../charts/chart85.xml"/><Relationship Id="rId17" Type="http://schemas.openxmlformats.org/officeDocument/2006/relationships/chart" Target="../charts/chart88.xml"/><Relationship Id="rId16" Type="http://schemas.openxmlformats.org/officeDocument/2006/relationships/chart" Target="../charts/chart87.xml"/><Relationship Id="rId5" Type="http://schemas.openxmlformats.org/officeDocument/2006/relationships/chart" Target="../charts/chart76.xml"/><Relationship Id="rId6" Type="http://schemas.openxmlformats.org/officeDocument/2006/relationships/chart" Target="../charts/chart77.xml"/><Relationship Id="rId18" Type="http://schemas.openxmlformats.org/officeDocument/2006/relationships/chart" Target="../charts/chart89.xml"/><Relationship Id="rId7" Type="http://schemas.openxmlformats.org/officeDocument/2006/relationships/chart" Target="../charts/chart78.xml"/><Relationship Id="rId8" Type="http://schemas.openxmlformats.org/officeDocument/2006/relationships/chart" Target="../charts/chart7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0.xml"/><Relationship Id="rId2" Type="http://schemas.openxmlformats.org/officeDocument/2006/relationships/chart" Target="../charts/chart9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228600</xdr:colOff>
      <xdr:row>9</xdr:row>
      <xdr:rowOff>28575</xdr:rowOff>
    </xdr:from>
    <xdr:ext cx="4676775" cy="3124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257175</xdr:colOff>
      <xdr:row>27</xdr:row>
      <xdr:rowOff>0</xdr:rowOff>
    </xdr:from>
    <xdr:ext cx="4676775" cy="31242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981075</xdr:colOff>
      <xdr:row>9</xdr:row>
      <xdr:rowOff>28575</xdr:rowOff>
    </xdr:from>
    <xdr:ext cx="4676775" cy="31242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981075</xdr:colOff>
      <xdr:row>27</xdr:row>
      <xdr:rowOff>28575</xdr:rowOff>
    </xdr:from>
    <xdr:ext cx="4676775" cy="31242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381000</xdr:colOff>
      <xdr:row>46</xdr:row>
      <xdr:rowOff>142875</xdr:rowOff>
    </xdr:from>
    <xdr:ext cx="4676775" cy="31242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495300</xdr:colOff>
      <xdr:row>62</xdr:row>
      <xdr:rowOff>76200</xdr:rowOff>
    </xdr:from>
    <xdr:ext cx="4676775" cy="31242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657225</xdr:colOff>
      <xdr:row>46</xdr:row>
      <xdr:rowOff>152400</xdr:rowOff>
    </xdr:from>
    <xdr:ext cx="4676775" cy="31242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638175</xdr:colOff>
      <xdr:row>62</xdr:row>
      <xdr:rowOff>76200</xdr:rowOff>
    </xdr:from>
    <xdr:ext cx="4676775" cy="31242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12</xdr:col>
      <xdr:colOff>628650</xdr:colOff>
      <xdr:row>46</xdr:row>
      <xdr:rowOff>152400</xdr:rowOff>
    </xdr:from>
    <xdr:ext cx="4676775" cy="312420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12</xdr:col>
      <xdr:colOff>695325</xdr:colOff>
      <xdr:row>62</xdr:row>
      <xdr:rowOff>66675</xdr:rowOff>
    </xdr:from>
    <xdr:ext cx="4676775" cy="312420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13</xdr:col>
      <xdr:colOff>3267075</xdr:colOff>
      <xdr:row>46</xdr:row>
      <xdr:rowOff>142875</xdr:rowOff>
    </xdr:from>
    <xdr:ext cx="4676775" cy="3124200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13</xdr:col>
      <xdr:colOff>3267075</xdr:colOff>
      <xdr:row>62</xdr:row>
      <xdr:rowOff>76200</xdr:rowOff>
    </xdr:from>
    <xdr:ext cx="4676775" cy="3124200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</xdr:col>
      <xdr:colOff>866775</xdr:colOff>
      <xdr:row>81</xdr:row>
      <xdr:rowOff>9525</xdr:rowOff>
    </xdr:from>
    <xdr:ext cx="4676775" cy="3124200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6</xdr:col>
      <xdr:colOff>228600</xdr:colOff>
      <xdr:row>81</xdr:row>
      <xdr:rowOff>19050</xdr:rowOff>
    </xdr:from>
    <xdr:ext cx="4676775" cy="3124200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12</xdr:col>
      <xdr:colOff>952500</xdr:colOff>
      <xdr:row>81</xdr:row>
      <xdr:rowOff>19050</xdr:rowOff>
    </xdr:from>
    <xdr:ext cx="4676775" cy="3124200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13</xdr:col>
      <xdr:colOff>3438525</xdr:colOff>
      <xdr:row>81</xdr:row>
      <xdr:rowOff>19050</xdr:rowOff>
    </xdr:from>
    <xdr:ext cx="4676775" cy="3124200"/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</xdr:col>
      <xdr:colOff>866775</xdr:colOff>
      <xdr:row>97</xdr:row>
      <xdr:rowOff>104775</xdr:rowOff>
    </xdr:from>
    <xdr:ext cx="4676775" cy="3124200"/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6</xdr:col>
      <xdr:colOff>333375</xdr:colOff>
      <xdr:row>97</xdr:row>
      <xdr:rowOff>152400</xdr:rowOff>
    </xdr:from>
    <xdr:ext cx="4676775" cy="3124200"/>
    <xdr:graphicFrame>
      <xdr:nvGraphicFramePr>
        <xdr:cNvPr id="52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12</xdr:col>
      <xdr:colOff>1114425</xdr:colOff>
      <xdr:row>97</xdr:row>
      <xdr:rowOff>104775</xdr:rowOff>
    </xdr:from>
    <xdr:ext cx="4676775" cy="3124200"/>
    <xdr:graphicFrame>
      <xdr:nvGraphicFramePr>
        <xdr:cNvPr id="56" name="Chart 5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13</xdr:col>
      <xdr:colOff>3657600</xdr:colOff>
      <xdr:row>97</xdr:row>
      <xdr:rowOff>104775</xdr:rowOff>
    </xdr:from>
    <xdr:ext cx="4676775" cy="3124200"/>
    <xdr:graphicFrame>
      <xdr:nvGraphicFramePr>
        <xdr:cNvPr id="58" name="Chart 5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14</xdr:row>
      <xdr:rowOff>180975</xdr:rowOff>
    </xdr:from>
    <xdr:ext cx="4676775" cy="3124200"/>
    <xdr:graphicFrame>
      <xdr:nvGraphicFramePr>
        <xdr:cNvPr id="89" name="Chart 8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933450</xdr:colOff>
      <xdr:row>33</xdr:row>
      <xdr:rowOff>123825</xdr:rowOff>
    </xdr:from>
    <xdr:ext cx="4676775" cy="3124200"/>
    <xdr:graphicFrame>
      <xdr:nvGraphicFramePr>
        <xdr:cNvPr id="91" name="Chart 9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47625</xdr:colOff>
      <xdr:row>14</xdr:row>
      <xdr:rowOff>152400</xdr:rowOff>
    </xdr:from>
    <xdr:ext cx="4676775" cy="3124200"/>
    <xdr:graphicFrame>
      <xdr:nvGraphicFramePr>
        <xdr:cNvPr id="94" name="Chart 9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942975</xdr:colOff>
      <xdr:row>33</xdr:row>
      <xdr:rowOff>133350</xdr:rowOff>
    </xdr:from>
    <xdr:ext cx="4676775" cy="3124200"/>
    <xdr:graphicFrame>
      <xdr:nvGraphicFramePr>
        <xdr:cNvPr id="95" name="Chart 9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266700</xdr:colOff>
      <xdr:row>15</xdr:row>
      <xdr:rowOff>0</xdr:rowOff>
    </xdr:from>
    <xdr:ext cx="4676775" cy="3124200"/>
    <xdr:graphicFrame>
      <xdr:nvGraphicFramePr>
        <xdr:cNvPr id="96" name="Chart 9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323850</xdr:colOff>
      <xdr:row>30</xdr:row>
      <xdr:rowOff>152400</xdr:rowOff>
    </xdr:from>
    <xdr:ext cx="4676775" cy="3124200"/>
    <xdr:graphicFrame>
      <xdr:nvGraphicFramePr>
        <xdr:cNvPr id="97" name="Chart 9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114300</xdr:colOff>
      <xdr:row>15</xdr:row>
      <xdr:rowOff>95250</xdr:rowOff>
    </xdr:from>
    <xdr:ext cx="4676775" cy="3124200"/>
    <xdr:graphicFrame>
      <xdr:nvGraphicFramePr>
        <xdr:cNvPr id="98" name="Chart 9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114300</xdr:colOff>
      <xdr:row>30</xdr:row>
      <xdr:rowOff>161925</xdr:rowOff>
    </xdr:from>
    <xdr:ext cx="4676775" cy="3124200"/>
    <xdr:graphicFrame>
      <xdr:nvGraphicFramePr>
        <xdr:cNvPr id="99" name="Chart 9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704850</xdr:colOff>
      <xdr:row>2</xdr:row>
      <xdr:rowOff>57150</xdr:rowOff>
    </xdr:from>
    <xdr:ext cx="6972300" cy="4657725"/>
    <xdr:graphicFrame>
      <xdr:nvGraphicFramePr>
        <xdr:cNvPr id="100" name="Chart 10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38100</xdr:colOff>
      <xdr:row>15</xdr:row>
      <xdr:rowOff>123825</xdr:rowOff>
    </xdr:from>
    <xdr:ext cx="4676775" cy="3124200"/>
    <xdr:graphicFrame>
      <xdr:nvGraphicFramePr>
        <xdr:cNvPr id="101" name="Chart 10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38100</xdr:colOff>
      <xdr:row>31</xdr:row>
      <xdr:rowOff>104775</xdr:rowOff>
    </xdr:from>
    <xdr:ext cx="4676775" cy="3124200"/>
    <xdr:graphicFrame>
      <xdr:nvGraphicFramePr>
        <xdr:cNvPr id="103" name="Chart 10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704850</xdr:colOff>
      <xdr:row>26</xdr:row>
      <xdr:rowOff>104775</xdr:rowOff>
    </xdr:from>
    <xdr:ext cx="6972300" cy="4657725"/>
    <xdr:graphicFrame>
      <xdr:nvGraphicFramePr>
        <xdr:cNvPr id="107" name="Chart 10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704850</xdr:colOff>
      <xdr:row>50</xdr:row>
      <xdr:rowOff>57150</xdr:rowOff>
    </xdr:from>
    <xdr:ext cx="6972300" cy="4657725"/>
    <xdr:graphicFrame>
      <xdr:nvGraphicFramePr>
        <xdr:cNvPr id="109" name="Chart 10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704850</xdr:colOff>
      <xdr:row>73</xdr:row>
      <xdr:rowOff>114300</xdr:rowOff>
    </xdr:from>
    <xdr:ext cx="6972300" cy="4657725"/>
    <xdr:graphicFrame>
      <xdr:nvGraphicFramePr>
        <xdr:cNvPr id="111" name="Chart 1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115175" cy="30956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304800</xdr:colOff>
      <xdr:row>4</xdr:row>
      <xdr:rowOff>76200</xdr:rowOff>
    </xdr:from>
    <xdr:ext cx="3962400" cy="2447925"/>
    <xdr:graphicFrame>
      <xdr:nvGraphicFramePr>
        <xdr:cNvPr id="102" name="Chart 10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304800</xdr:colOff>
      <xdr:row>17</xdr:row>
      <xdr:rowOff>123825</xdr:rowOff>
    </xdr:from>
    <xdr:ext cx="3962400" cy="2447925"/>
    <xdr:graphicFrame>
      <xdr:nvGraphicFramePr>
        <xdr:cNvPr id="104" name="Chart 10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304800</xdr:colOff>
      <xdr:row>30</xdr:row>
      <xdr:rowOff>171450</xdr:rowOff>
    </xdr:from>
    <xdr:ext cx="3962400" cy="2447925"/>
    <xdr:graphicFrame>
      <xdr:nvGraphicFramePr>
        <xdr:cNvPr id="105" name="Chart 10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304800</xdr:colOff>
      <xdr:row>44</xdr:row>
      <xdr:rowOff>57150</xdr:rowOff>
    </xdr:from>
    <xdr:ext cx="3962400" cy="2447925"/>
    <xdr:graphicFrame>
      <xdr:nvGraphicFramePr>
        <xdr:cNvPr id="106" name="Chart 10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314325</xdr:colOff>
      <xdr:row>58</xdr:row>
      <xdr:rowOff>57150</xdr:rowOff>
    </xdr:from>
    <xdr:ext cx="3962400" cy="2447925"/>
    <xdr:graphicFrame>
      <xdr:nvGraphicFramePr>
        <xdr:cNvPr id="108" name="Chart 10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495300</xdr:colOff>
      <xdr:row>8</xdr:row>
      <xdr:rowOff>190500</xdr:rowOff>
    </xdr:from>
    <xdr:ext cx="5143500" cy="3181350"/>
    <xdr:graphicFrame>
      <xdr:nvGraphicFramePr>
        <xdr:cNvPr id="110" name="Chart 1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495300</xdr:colOff>
      <xdr:row>21</xdr:row>
      <xdr:rowOff>180975</xdr:rowOff>
    </xdr:from>
    <xdr:ext cx="5181600" cy="3181350"/>
    <xdr:graphicFrame>
      <xdr:nvGraphicFramePr>
        <xdr:cNvPr id="112" name="Chart 1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257175</xdr:colOff>
      <xdr:row>26</xdr:row>
      <xdr:rowOff>0</xdr:rowOff>
    </xdr:from>
    <xdr:ext cx="4676775" cy="3124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981075</xdr:colOff>
      <xdr:row>9</xdr:row>
      <xdr:rowOff>28575</xdr:rowOff>
    </xdr:from>
    <xdr:ext cx="4676775" cy="31242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981075</xdr:colOff>
      <xdr:row>26</xdr:row>
      <xdr:rowOff>28575</xdr:rowOff>
    </xdr:from>
    <xdr:ext cx="4676775" cy="31242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381000</xdr:colOff>
      <xdr:row>42</xdr:row>
      <xdr:rowOff>142875</xdr:rowOff>
    </xdr:from>
    <xdr:ext cx="4676775" cy="31242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657225</xdr:colOff>
      <xdr:row>42</xdr:row>
      <xdr:rowOff>152400</xdr:rowOff>
    </xdr:from>
    <xdr:ext cx="4676775" cy="31242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3105150</xdr:colOff>
      <xdr:row>42</xdr:row>
      <xdr:rowOff>142875</xdr:rowOff>
    </xdr:from>
    <xdr:ext cx="4676775" cy="31242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628650</xdr:colOff>
      <xdr:row>42</xdr:row>
      <xdr:rowOff>152400</xdr:rowOff>
    </xdr:from>
    <xdr:ext cx="4676775" cy="31242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495300</xdr:colOff>
      <xdr:row>58</xdr:row>
      <xdr:rowOff>76200</xdr:rowOff>
    </xdr:from>
    <xdr:ext cx="4676775" cy="312420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5</xdr:col>
      <xdr:colOff>638175</xdr:colOff>
      <xdr:row>58</xdr:row>
      <xdr:rowOff>76200</xdr:rowOff>
    </xdr:from>
    <xdr:ext cx="4676775" cy="3124200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13</xdr:col>
      <xdr:colOff>3105150</xdr:colOff>
      <xdr:row>58</xdr:row>
      <xdr:rowOff>76200</xdr:rowOff>
    </xdr:from>
    <xdr:ext cx="4676775" cy="3124200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12</xdr:col>
      <xdr:colOff>695325</xdr:colOff>
      <xdr:row>58</xdr:row>
      <xdr:rowOff>66675</xdr:rowOff>
    </xdr:from>
    <xdr:ext cx="4676775" cy="3124200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</xdr:col>
      <xdr:colOff>571500</xdr:colOff>
      <xdr:row>76</xdr:row>
      <xdr:rowOff>171450</xdr:rowOff>
    </xdr:from>
    <xdr:ext cx="4676775" cy="3124200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</xdr:col>
      <xdr:colOff>571500</xdr:colOff>
      <xdr:row>93</xdr:row>
      <xdr:rowOff>57150</xdr:rowOff>
    </xdr:from>
    <xdr:ext cx="4676775" cy="3124200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6</xdr:col>
      <xdr:colOff>104775</xdr:colOff>
      <xdr:row>76</xdr:row>
      <xdr:rowOff>123825</xdr:rowOff>
    </xdr:from>
    <xdr:ext cx="4676775" cy="3124200"/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12</xdr:col>
      <xdr:colOff>962025</xdr:colOff>
      <xdr:row>77</xdr:row>
      <xdr:rowOff>19050</xdr:rowOff>
    </xdr:from>
    <xdr:ext cx="4676775" cy="3124200"/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13</xdr:col>
      <xdr:colOff>3600450</xdr:colOff>
      <xdr:row>77</xdr:row>
      <xdr:rowOff>19050</xdr:rowOff>
    </xdr:from>
    <xdr:ext cx="4676775" cy="3124200"/>
    <xdr:graphicFrame>
      <xdr:nvGraphicFramePr>
        <xdr:cNvPr id="51" name="Chart 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6</xdr:col>
      <xdr:colOff>76200</xdr:colOff>
      <xdr:row>93</xdr:row>
      <xdr:rowOff>76200</xdr:rowOff>
    </xdr:from>
    <xdr:ext cx="4676775" cy="3124200"/>
    <xdr:graphicFrame>
      <xdr:nvGraphicFramePr>
        <xdr:cNvPr id="54" name="Chart 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12</xdr:col>
      <xdr:colOff>1000125</xdr:colOff>
      <xdr:row>93</xdr:row>
      <xdr:rowOff>104775</xdr:rowOff>
    </xdr:from>
    <xdr:ext cx="4676775" cy="3124200"/>
    <xdr:graphicFrame>
      <xdr:nvGraphicFramePr>
        <xdr:cNvPr id="57" name="Chart 5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14</xdr:col>
      <xdr:colOff>3657600</xdr:colOff>
      <xdr:row>93</xdr:row>
      <xdr:rowOff>104775</xdr:rowOff>
    </xdr:from>
    <xdr:ext cx="4676775" cy="3124200"/>
    <xdr:graphicFrame>
      <xdr:nvGraphicFramePr>
        <xdr:cNvPr id="59" name="Chart 5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9</xdr:col>
      <xdr:colOff>219075</xdr:colOff>
      <xdr:row>9</xdr:row>
      <xdr:rowOff>28575</xdr:rowOff>
    </xdr:from>
    <xdr:ext cx="4676775" cy="3124200"/>
    <xdr:graphicFrame>
      <xdr:nvGraphicFramePr>
        <xdr:cNvPr id="60" name="Chart 6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266700</xdr:colOff>
      <xdr:row>14</xdr:row>
      <xdr:rowOff>0</xdr:rowOff>
    </xdr:from>
    <xdr:ext cx="4676775" cy="3124200"/>
    <xdr:graphicFrame>
      <xdr:nvGraphicFramePr>
        <xdr:cNvPr id="113" name="Chart 1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114300</xdr:colOff>
      <xdr:row>14</xdr:row>
      <xdr:rowOff>95250</xdr:rowOff>
    </xdr:from>
    <xdr:ext cx="4676775" cy="3124200"/>
    <xdr:graphicFrame>
      <xdr:nvGraphicFramePr>
        <xdr:cNvPr id="114" name="Chart 1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257175</xdr:colOff>
      <xdr:row>26</xdr:row>
      <xdr:rowOff>0</xdr:rowOff>
    </xdr:from>
    <xdr:ext cx="4676775" cy="3124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981075</xdr:colOff>
      <xdr:row>9</xdr:row>
      <xdr:rowOff>28575</xdr:rowOff>
    </xdr:from>
    <xdr:ext cx="4676775" cy="31242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990600</xdr:colOff>
      <xdr:row>26</xdr:row>
      <xdr:rowOff>9525</xdr:rowOff>
    </xdr:from>
    <xdr:ext cx="4676775" cy="31242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381000</xdr:colOff>
      <xdr:row>42</xdr:row>
      <xdr:rowOff>142875</xdr:rowOff>
    </xdr:from>
    <xdr:ext cx="4676775" cy="31242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657225</xdr:colOff>
      <xdr:row>42</xdr:row>
      <xdr:rowOff>152400</xdr:rowOff>
    </xdr:from>
    <xdr:ext cx="4676775" cy="31242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3105150</xdr:colOff>
      <xdr:row>42</xdr:row>
      <xdr:rowOff>142875</xdr:rowOff>
    </xdr:from>
    <xdr:ext cx="4676775" cy="31242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628650</xdr:colOff>
      <xdr:row>42</xdr:row>
      <xdr:rowOff>152400</xdr:rowOff>
    </xdr:from>
    <xdr:ext cx="4676775" cy="31242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</xdr:col>
      <xdr:colOff>495300</xdr:colOff>
      <xdr:row>58</xdr:row>
      <xdr:rowOff>76200</xdr:rowOff>
    </xdr:from>
    <xdr:ext cx="4676775" cy="31242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5</xdr:col>
      <xdr:colOff>638175</xdr:colOff>
      <xdr:row>58</xdr:row>
      <xdr:rowOff>76200</xdr:rowOff>
    </xdr:from>
    <xdr:ext cx="4676775" cy="312420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13</xdr:col>
      <xdr:colOff>3105150</xdr:colOff>
      <xdr:row>58</xdr:row>
      <xdr:rowOff>76200</xdr:rowOff>
    </xdr:from>
    <xdr:ext cx="4676775" cy="3124200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12</xdr:col>
      <xdr:colOff>695325</xdr:colOff>
      <xdr:row>58</xdr:row>
      <xdr:rowOff>66675</xdr:rowOff>
    </xdr:from>
    <xdr:ext cx="4676775" cy="3124200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</xdr:col>
      <xdr:colOff>571500</xdr:colOff>
      <xdr:row>76</xdr:row>
      <xdr:rowOff>171450</xdr:rowOff>
    </xdr:from>
    <xdr:ext cx="4676775" cy="3124200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</xdr:col>
      <xdr:colOff>571500</xdr:colOff>
      <xdr:row>93</xdr:row>
      <xdr:rowOff>57150</xdr:rowOff>
    </xdr:from>
    <xdr:ext cx="4676775" cy="3124200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6</xdr:col>
      <xdr:colOff>104775</xdr:colOff>
      <xdr:row>76</xdr:row>
      <xdr:rowOff>123825</xdr:rowOff>
    </xdr:from>
    <xdr:ext cx="4676775" cy="3124200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12</xdr:col>
      <xdr:colOff>962025</xdr:colOff>
      <xdr:row>77</xdr:row>
      <xdr:rowOff>19050</xdr:rowOff>
    </xdr:from>
    <xdr:ext cx="4676775" cy="3124200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13</xdr:col>
      <xdr:colOff>3600450</xdr:colOff>
      <xdr:row>77</xdr:row>
      <xdr:rowOff>19050</xdr:rowOff>
    </xdr:from>
    <xdr:ext cx="4676775" cy="3124200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6</xdr:col>
      <xdr:colOff>76200</xdr:colOff>
      <xdr:row>93</xdr:row>
      <xdr:rowOff>76200</xdr:rowOff>
    </xdr:from>
    <xdr:ext cx="4676775" cy="3124200"/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12</xdr:col>
      <xdr:colOff>1000125</xdr:colOff>
      <xdr:row>93</xdr:row>
      <xdr:rowOff>104775</xdr:rowOff>
    </xdr:from>
    <xdr:ext cx="4676775" cy="3124200"/>
    <xdr:graphicFrame>
      <xdr:nvGraphicFramePr>
        <xdr:cNvPr id="50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14</xdr:col>
      <xdr:colOff>3657600</xdr:colOff>
      <xdr:row>93</xdr:row>
      <xdr:rowOff>104775</xdr:rowOff>
    </xdr:from>
    <xdr:ext cx="4676775" cy="3124200"/>
    <xdr:graphicFrame>
      <xdr:nvGraphicFramePr>
        <xdr:cNvPr id="53" name="Chart 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9</xdr:col>
      <xdr:colOff>219075</xdr:colOff>
      <xdr:row>9</xdr:row>
      <xdr:rowOff>28575</xdr:rowOff>
    </xdr:from>
    <xdr:ext cx="4676775" cy="3124200"/>
    <xdr:graphicFrame>
      <xdr:nvGraphicFramePr>
        <xdr:cNvPr id="55" name="Chart 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180975</xdr:colOff>
      <xdr:row>9</xdr:row>
      <xdr:rowOff>123825</xdr:rowOff>
    </xdr:from>
    <xdr:ext cx="4676775" cy="3124200"/>
    <xdr:graphicFrame>
      <xdr:nvGraphicFramePr>
        <xdr:cNvPr id="62" name="Chart 6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38100</xdr:colOff>
      <xdr:row>9</xdr:row>
      <xdr:rowOff>123825</xdr:rowOff>
    </xdr:from>
    <xdr:ext cx="4676775" cy="3124200"/>
    <xdr:graphicFrame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190500</xdr:colOff>
      <xdr:row>25</xdr:row>
      <xdr:rowOff>95250</xdr:rowOff>
    </xdr:from>
    <xdr:ext cx="4676775" cy="3124200"/>
    <xdr:graphicFrame>
      <xdr:nvGraphicFramePr>
        <xdr:cNvPr id="65" name="Chart 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38100</xdr:colOff>
      <xdr:row>25</xdr:row>
      <xdr:rowOff>104775</xdr:rowOff>
    </xdr:from>
    <xdr:ext cx="4676775" cy="3124200"/>
    <xdr:graphicFrame>
      <xdr:nvGraphicFramePr>
        <xdr:cNvPr id="68" name="Chart 6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123825</xdr:colOff>
      <xdr:row>6</xdr:row>
      <xdr:rowOff>161925</xdr:rowOff>
    </xdr:from>
    <xdr:ext cx="4676775" cy="3124200"/>
    <xdr:graphicFrame>
      <xdr:nvGraphicFramePr>
        <xdr:cNvPr id="61" name="Chart 6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2152650</xdr:colOff>
      <xdr:row>57</xdr:row>
      <xdr:rowOff>95250</xdr:rowOff>
    </xdr:from>
    <xdr:ext cx="4676775" cy="3124200"/>
    <xdr:graphicFrame>
      <xdr:nvGraphicFramePr>
        <xdr:cNvPr id="63" name="Chart 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457200</xdr:colOff>
      <xdr:row>57</xdr:row>
      <xdr:rowOff>85725</xdr:rowOff>
    </xdr:from>
    <xdr:ext cx="4676775" cy="3124200"/>
    <xdr:graphicFrame>
      <xdr:nvGraphicFramePr>
        <xdr:cNvPr id="66" name="Chart 6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2152650</xdr:colOff>
      <xdr:row>81</xdr:row>
      <xdr:rowOff>95250</xdr:rowOff>
    </xdr:from>
    <xdr:ext cx="4676775" cy="3124200"/>
    <xdr:graphicFrame>
      <xdr:nvGraphicFramePr>
        <xdr:cNvPr id="69" name="Chart 6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457200</xdr:colOff>
      <xdr:row>81</xdr:row>
      <xdr:rowOff>85725</xdr:rowOff>
    </xdr:from>
    <xdr:ext cx="4676775" cy="3124200"/>
    <xdr:graphicFrame>
      <xdr:nvGraphicFramePr>
        <xdr:cNvPr id="71" name="Chart 7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95250</xdr:colOff>
      <xdr:row>1</xdr:row>
      <xdr:rowOff>0</xdr:rowOff>
    </xdr:from>
    <xdr:ext cx="4676775" cy="3124200"/>
    <xdr:graphicFrame>
      <xdr:nvGraphicFramePr>
        <xdr:cNvPr id="67" name="Chart 6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95250</xdr:colOff>
      <xdr:row>17</xdr:row>
      <xdr:rowOff>104775</xdr:rowOff>
    </xdr:from>
    <xdr:ext cx="4676775" cy="3124200"/>
    <xdr:graphicFrame>
      <xdr:nvGraphicFramePr>
        <xdr:cNvPr id="70" name="Chart 7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695325</xdr:colOff>
      <xdr:row>1</xdr:row>
      <xdr:rowOff>95250</xdr:rowOff>
    </xdr:from>
    <xdr:ext cx="5143500" cy="3181350"/>
    <xdr:graphicFrame>
      <xdr:nvGraphicFramePr>
        <xdr:cNvPr id="72" name="Chart 7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1019175</xdr:colOff>
      <xdr:row>1</xdr:row>
      <xdr:rowOff>95250</xdr:rowOff>
    </xdr:from>
    <xdr:ext cx="5143500" cy="3181350"/>
    <xdr:graphicFrame>
      <xdr:nvGraphicFramePr>
        <xdr:cNvPr id="73" name="Chart 7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647700</xdr:colOff>
      <xdr:row>17</xdr:row>
      <xdr:rowOff>66675</xdr:rowOff>
    </xdr:from>
    <xdr:ext cx="5143500" cy="3181350"/>
    <xdr:graphicFrame>
      <xdr:nvGraphicFramePr>
        <xdr:cNvPr id="74" name="Chart 7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1009650</xdr:colOff>
      <xdr:row>17</xdr:row>
      <xdr:rowOff>66675</xdr:rowOff>
    </xdr:from>
    <xdr:ext cx="5143500" cy="3181350"/>
    <xdr:graphicFrame>
      <xdr:nvGraphicFramePr>
        <xdr:cNvPr id="75" name="Chart 7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647700</xdr:colOff>
      <xdr:row>28</xdr:row>
      <xdr:rowOff>161925</xdr:rowOff>
    </xdr:from>
    <xdr:ext cx="5143500" cy="3181350"/>
    <xdr:graphicFrame>
      <xdr:nvGraphicFramePr>
        <xdr:cNvPr id="76" name="Chart 7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990600</xdr:colOff>
      <xdr:row>28</xdr:row>
      <xdr:rowOff>180975</xdr:rowOff>
    </xdr:from>
    <xdr:ext cx="5143500" cy="3181350"/>
    <xdr:graphicFrame>
      <xdr:nvGraphicFramePr>
        <xdr:cNvPr id="77" name="Chart 7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647700</xdr:colOff>
      <xdr:row>40</xdr:row>
      <xdr:rowOff>38100</xdr:rowOff>
    </xdr:from>
    <xdr:ext cx="5143500" cy="3181350"/>
    <xdr:graphicFrame>
      <xdr:nvGraphicFramePr>
        <xdr:cNvPr id="78" name="Chart 7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962025</xdr:colOff>
      <xdr:row>40</xdr:row>
      <xdr:rowOff>19050</xdr:rowOff>
    </xdr:from>
    <xdr:ext cx="5143500" cy="3181350"/>
    <xdr:graphicFrame>
      <xdr:nvGraphicFramePr>
        <xdr:cNvPr id="79" name="Chart 7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50</xdr:row>
      <xdr:rowOff>47625</xdr:rowOff>
    </xdr:from>
    <xdr:ext cx="5143500" cy="3181350"/>
    <xdr:graphicFrame>
      <xdr:nvGraphicFramePr>
        <xdr:cNvPr id="81" name="Chart 8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14</xdr:col>
      <xdr:colOff>6181725</xdr:colOff>
      <xdr:row>1</xdr:row>
      <xdr:rowOff>95250</xdr:rowOff>
    </xdr:from>
    <xdr:ext cx="5143500" cy="3181350"/>
    <xdr:graphicFrame>
      <xdr:nvGraphicFramePr>
        <xdr:cNvPr id="83" name="Chart 8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14</xdr:col>
      <xdr:colOff>11344275</xdr:colOff>
      <xdr:row>1</xdr:row>
      <xdr:rowOff>95250</xdr:rowOff>
    </xdr:from>
    <xdr:ext cx="5143500" cy="3181350"/>
    <xdr:graphicFrame>
      <xdr:nvGraphicFramePr>
        <xdr:cNvPr id="84" name="Chart 8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14</xdr:col>
      <xdr:colOff>11296650</xdr:colOff>
      <xdr:row>17</xdr:row>
      <xdr:rowOff>66675</xdr:rowOff>
    </xdr:from>
    <xdr:ext cx="5143500" cy="3181350"/>
    <xdr:graphicFrame>
      <xdr:nvGraphicFramePr>
        <xdr:cNvPr id="85" name="Chart 8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14</xdr:col>
      <xdr:colOff>6162675</xdr:colOff>
      <xdr:row>17</xdr:row>
      <xdr:rowOff>66675</xdr:rowOff>
    </xdr:from>
    <xdr:ext cx="5143500" cy="3181350"/>
    <xdr:graphicFrame>
      <xdr:nvGraphicFramePr>
        <xdr:cNvPr id="86" name="Chart 8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14</xdr:col>
      <xdr:colOff>11315700</xdr:colOff>
      <xdr:row>29</xdr:row>
      <xdr:rowOff>0</xdr:rowOff>
    </xdr:from>
    <xdr:ext cx="5143500" cy="3181350"/>
    <xdr:graphicFrame>
      <xdr:nvGraphicFramePr>
        <xdr:cNvPr id="87" name="Chart 8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</xdr:col>
      <xdr:colOff>6153150</xdr:colOff>
      <xdr:row>28</xdr:row>
      <xdr:rowOff>171450</xdr:rowOff>
    </xdr:from>
    <xdr:ext cx="5143500" cy="3181350"/>
    <xdr:graphicFrame>
      <xdr:nvGraphicFramePr>
        <xdr:cNvPr id="88" name="Chart 8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14</xdr:col>
      <xdr:colOff>11296650</xdr:colOff>
      <xdr:row>40</xdr:row>
      <xdr:rowOff>28575</xdr:rowOff>
    </xdr:from>
    <xdr:ext cx="5143500" cy="3181350"/>
    <xdr:graphicFrame>
      <xdr:nvGraphicFramePr>
        <xdr:cNvPr id="90" name="Chart 9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14</xdr:col>
      <xdr:colOff>6134100</xdr:colOff>
      <xdr:row>40</xdr:row>
      <xdr:rowOff>28575</xdr:rowOff>
    </xdr:from>
    <xdr:ext cx="5143500" cy="3181350"/>
    <xdr:graphicFrame>
      <xdr:nvGraphicFramePr>
        <xdr:cNvPr id="92" name="Chart 9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4</xdr:col>
      <xdr:colOff>714375</xdr:colOff>
      <xdr:row>50</xdr:row>
      <xdr:rowOff>47625</xdr:rowOff>
    </xdr:from>
    <xdr:ext cx="5143500" cy="3181350"/>
    <xdr:graphicFrame>
      <xdr:nvGraphicFramePr>
        <xdr:cNvPr id="93" name="Chart 9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1419225</xdr:colOff>
      <xdr:row>27</xdr:row>
      <xdr:rowOff>152400</xdr:rowOff>
    </xdr:from>
    <xdr:ext cx="4676775" cy="3124200"/>
    <xdr:graphicFrame>
      <xdr:nvGraphicFramePr>
        <xdr:cNvPr id="80" name="Chart 8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933450</xdr:colOff>
      <xdr:row>27</xdr:row>
      <xdr:rowOff>123825</xdr:rowOff>
    </xdr:from>
    <xdr:ext cx="4676775" cy="3124200"/>
    <xdr:graphicFrame>
      <xdr:nvGraphicFramePr>
        <xdr:cNvPr id="82" name="Chart 8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3" max="3" width="29.0"/>
    <col customWidth="1" min="4" max="4" width="14.14"/>
    <col customWidth="1" min="5" max="9" width="11.14"/>
    <col customWidth="1" min="10" max="12" width="8.71"/>
    <col customWidth="1" min="13" max="13" width="33.14"/>
    <col customWidth="1" min="14" max="14" width="150.0"/>
  </cols>
  <sheetData>
    <row r="1">
      <c r="A1" s="1" t="s">
        <v>0</v>
      </c>
      <c r="B1" s="2">
        <v>2003.0</v>
      </c>
      <c r="D1" s="3"/>
      <c r="E1" s="3"/>
      <c r="H1" s="4"/>
      <c r="I1" s="4"/>
      <c r="J1" s="4"/>
      <c r="K1" s="4"/>
      <c r="L1" s="5"/>
    </row>
    <row r="2">
      <c r="A2" s="6" t="s">
        <v>1</v>
      </c>
      <c r="B2" s="7"/>
      <c r="C2" s="8"/>
      <c r="D2" s="9"/>
      <c r="E2" s="9"/>
      <c r="H2" s="4"/>
      <c r="I2" s="4"/>
      <c r="J2" s="4"/>
      <c r="K2" s="4"/>
      <c r="L2" s="5"/>
    </row>
    <row r="3">
      <c r="A3" s="10" t="s">
        <v>2</v>
      </c>
      <c r="B3" s="8"/>
      <c r="C3" s="11" t="s">
        <v>3</v>
      </c>
      <c r="D3" s="9"/>
      <c r="E3" s="9"/>
      <c r="H3" s="4"/>
      <c r="I3" s="4"/>
      <c r="J3" s="4"/>
      <c r="K3" s="4"/>
      <c r="L3" s="5"/>
    </row>
    <row r="4">
      <c r="A4" s="10" t="s">
        <v>4</v>
      </c>
      <c r="B4" s="8"/>
      <c r="C4" s="12">
        <v>1.0E-5</v>
      </c>
      <c r="D4" s="9"/>
      <c r="E4" s="9"/>
      <c r="H4" s="4"/>
      <c r="I4" s="4"/>
      <c r="J4" s="4"/>
      <c r="K4" s="4"/>
      <c r="L4" s="5"/>
    </row>
    <row r="5">
      <c r="A5" s="10" t="s">
        <v>5</v>
      </c>
      <c r="B5" s="8"/>
      <c r="C5" s="11" t="s">
        <v>20</v>
      </c>
      <c r="D5" s="9"/>
      <c r="E5" s="9"/>
      <c r="H5" s="4"/>
      <c r="I5" s="4"/>
      <c r="J5" s="4"/>
      <c r="K5" s="4"/>
      <c r="L5" s="5"/>
    </row>
    <row r="6">
      <c r="A6" s="10" t="s">
        <v>7</v>
      </c>
      <c r="B6" s="8"/>
      <c r="C6" s="11" t="s">
        <v>21</v>
      </c>
      <c r="D6" s="9"/>
      <c r="E6" s="9"/>
      <c r="H6" s="4"/>
      <c r="I6" s="4"/>
      <c r="J6" s="4"/>
      <c r="K6" s="4"/>
      <c r="L6" s="5"/>
    </row>
    <row r="7">
      <c r="A7" s="10" t="s">
        <v>9</v>
      </c>
      <c r="B7" s="8"/>
      <c r="C7" s="11" t="s">
        <v>10</v>
      </c>
      <c r="D7" s="13"/>
      <c r="E7" s="13"/>
      <c r="H7" s="4"/>
      <c r="I7" s="4"/>
      <c r="J7" s="4"/>
      <c r="K7" s="4"/>
      <c r="L7" s="5"/>
    </row>
    <row r="8">
      <c r="H8" s="4"/>
      <c r="I8" s="4"/>
      <c r="J8" s="4"/>
      <c r="K8" s="4"/>
      <c r="L8" s="5"/>
    </row>
    <row r="9">
      <c r="H9" s="4"/>
      <c r="I9" s="4"/>
      <c r="J9" s="4"/>
      <c r="K9" s="4"/>
      <c r="L9" s="5"/>
    </row>
    <row r="10">
      <c r="A10" s="15"/>
      <c r="B10" s="16" t="s">
        <v>12</v>
      </c>
      <c r="C10" s="16" t="s">
        <v>13</v>
      </c>
      <c r="D10" s="16" t="s">
        <v>14</v>
      </c>
      <c r="E10" s="17" t="s">
        <v>24</v>
      </c>
      <c r="F10" s="18"/>
      <c r="G10" s="18"/>
      <c r="H10" s="18"/>
      <c r="I10" s="19"/>
      <c r="M10" s="3"/>
      <c r="N10" s="3"/>
    </row>
    <row r="11">
      <c r="B11" s="20"/>
      <c r="C11" s="20"/>
      <c r="D11" s="21"/>
      <c r="E11" s="22">
        <v>64.0</v>
      </c>
      <c r="F11" s="22">
        <v>256.0</v>
      </c>
      <c r="G11" s="22">
        <v>512.0</v>
      </c>
      <c r="H11" s="22">
        <v>1024.0</v>
      </c>
      <c r="I11" s="22">
        <v>1500.0</v>
      </c>
      <c r="M11" s="9"/>
      <c r="N11" s="9"/>
    </row>
    <row r="12">
      <c r="B12" s="23" t="s">
        <v>16</v>
      </c>
      <c r="C12" s="24" t="s">
        <v>17</v>
      </c>
      <c r="D12" s="25" t="s">
        <v>18</v>
      </c>
      <c r="E12" s="26">
        <v>3.6</v>
      </c>
      <c r="F12" s="26">
        <v>11.8</v>
      </c>
      <c r="G12" s="26">
        <v>19.8</v>
      </c>
      <c r="H12" s="26">
        <v>27.8</v>
      </c>
      <c r="I12" s="27">
        <v>31.8</v>
      </c>
      <c r="M12" s="9"/>
      <c r="N12" s="9"/>
    </row>
    <row r="13">
      <c r="B13" s="28"/>
      <c r="C13" s="29"/>
      <c r="D13" s="30" t="s">
        <v>19</v>
      </c>
      <c r="E13" s="26">
        <v>3.2</v>
      </c>
      <c r="F13" s="26">
        <v>9.8</v>
      </c>
      <c r="G13" s="26">
        <v>16.8</v>
      </c>
      <c r="H13" s="31">
        <v>19.2</v>
      </c>
      <c r="I13" s="33">
        <v>19.4</v>
      </c>
      <c r="M13" s="9"/>
      <c r="N13" s="9"/>
    </row>
    <row r="14">
      <c r="B14" s="28"/>
      <c r="C14" s="32"/>
      <c r="D14" s="30" t="s">
        <v>22</v>
      </c>
      <c r="E14" s="31">
        <v>3.4</v>
      </c>
      <c r="F14" s="31">
        <v>10.8</v>
      </c>
      <c r="G14" s="31">
        <v>19.4</v>
      </c>
      <c r="H14" s="31">
        <v>27.8</v>
      </c>
      <c r="I14" s="33">
        <v>31.6</v>
      </c>
      <c r="M14" s="9"/>
      <c r="N14" s="9"/>
    </row>
    <row r="15">
      <c r="B15" s="28"/>
      <c r="C15" s="34" t="s">
        <v>23</v>
      </c>
      <c r="D15" s="30" t="s">
        <v>18</v>
      </c>
      <c r="E15" s="35">
        <f t="shared" ref="E15:I15" si="1">E12/2</f>
        <v>1.8</v>
      </c>
      <c r="F15" s="35">
        <f t="shared" si="1"/>
        <v>5.9</v>
      </c>
      <c r="G15" s="35">
        <f t="shared" si="1"/>
        <v>9.9</v>
      </c>
      <c r="H15" s="35">
        <f t="shared" si="1"/>
        <v>13.9</v>
      </c>
      <c r="I15" s="35">
        <f t="shared" si="1"/>
        <v>15.9</v>
      </c>
      <c r="M15" s="9"/>
      <c r="N15" s="9"/>
    </row>
    <row r="16">
      <c r="B16" s="28"/>
      <c r="C16" s="29"/>
      <c r="D16" s="30" t="s">
        <v>19</v>
      </c>
      <c r="E16" s="35">
        <f t="shared" ref="E16:I16" si="2">E13/2</f>
        <v>1.6</v>
      </c>
      <c r="F16" s="35">
        <f t="shared" si="2"/>
        <v>4.9</v>
      </c>
      <c r="G16" s="35">
        <f t="shared" si="2"/>
        <v>8.4</v>
      </c>
      <c r="H16" s="35">
        <f t="shared" si="2"/>
        <v>9.6</v>
      </c>
      <c r="I16" s="35">
        <f t="shared" si="2"/>
        <v>9.7</v>
      </c>
      <c r="M16" s="13"/>
      <c r="N16" s="13"/>
    </row>
    <row r="17">
      <c r="B17" s="28"/>
      <c r="C17" s="32"/>
      <c r="D17" s="30" t="s">
        <v>22</v>
      </c>
      <c r="E17" s="35">
        <f t="shared" ref="E17:I17" si="3">E14/2</f>
        <v>1.7</v>
      </c>
      <c r="F17" s="35">
        <f t="shared" si="3"/>
        <v>5.4</v>
      </c>
      <c r="G17" s="35">
        <f t="shared" si="3"/>
        <v>9.7</v>
      </c>
      <c r="H17" s="35">
        <f t="shared" si="3"/>
        <v>13.9</v>
      </c>
      <c r="I17" s="35">
        <f t="shared" si="3"/>
        <v>15.8</v>
      </c>
      <c r="M17" s="13"/>
      <c r="N17" s="13"/>
    </row>
    <row r="18">
      <c r="B18" s="28"/>
      <c r="C18" s="34" t="s">
        <v>26</v>
      </c>
      <c r="D18" s="30" t="s">
        <v>18</v>
      </c>
      <c r="E18" s="36">
        <f> 2.747 *2</f>
        <v>5.494</v>
      </c>
      <c r="F18" s="36">
        <f>2.662*2</f>
        <v>5.324</v>
      </c>
      <c r="G18" s="37">
        <f>2.326*2</f>
        <v>4.652</v>
      </c>
      <c r="H18" s="36">
        <f>1.663*2</f>
        <v>3.326</v>
      </c>
      <c r="I18" s="38">
        <f>1.309*2</f>
        <v>2.618</v>
      </c>
      <c r="M18" s="13"/>
      <c r="N18" s="13"/>
    </row>
    <row r="19">
      <c r="B19" s="28"/>
      <c r="C19" s="29"/>
      <c r="D19" s="30" t="s">
        <v>19</v>
      </c>
      <c r="E19" s="37">
        <v>4.65</v>
      </c>
      <c r="F19" s="37">
        <f>2.198*2</f>
        <v>4.396</v>
      </c>
      <c r="G19" s="37">
        <f>1.985*2</f>
        <v>3.97</v>
      </c>
      <c r="H19" s="37">
        <f>1.148*2</f>
        <v>2.296</v>
      </c>
      <c r="I19" s="38">
        <f>0.799*2</f>
        <v>1.598</v>
      </c>
      <c r="M19" s="13"/>
      <c r="N19" s="13"/>
    </row>
    <row r="20">
      <c r="B20" s="28"/>
      <c r="C20" s="32"/>
      <c r="D20" s="30" t="s">
        <v>22</v>
      </c>
      <c r="E20" s="37">
        <f>2.514*2</f>
        <v>5.028</v>
      </c>
      <c r="F20" s="37">
        <f>2.437 *2</f>
        <v>4.874</v>
      </c>
      <c r="G20" s="37">
        <f>2.15*2</f>
        <v>4.3</v>
      </c>
      <c r="H20" s="37">
        <f>1.664*2</f>
        <v>3.328</v>
      </c>
      <c r="I20" s="38">
        <f>1.299*2</f>
        <v>2.598</v>
      </c>
      <c r="M20" s="13"/>
      <c r="N20" s="13"/>
    </row>
    <row r="21">
      <c r="B21" s="28"/>
      <c r="C21" s="34" t="s">
        <v>27</v>
      </c>
      <c r="D21" s="30" t="s">
        <v>18</v>
      </c>
      <c r="E21" s="35">
        <f t="shared" ref="E21:I21" si="4">E18/2</f>
        <v>2.747</v>
      </c>
      <c r="F21" s="35">
        <f t="shared" si="4"/>
        <v>2.662</v>
      </c>
      <c r="G21" s="35">
        <f t="shared" si="4"/>
        <v>2.326</v>
      </c>
      <c r="H21" s="35">
        <f t="shared" si="4"/>
        <v>1.663</v>
      </c>
      <c r="I21" s="35">
        <f t="shared" si="4"/>
        <v>1.309</v>
      </c>
      <c r="M21" s="13"/>
      <c r="N21" s="13"/>
    </row>
    <row r="22">
      <c r="B22" s="28"/>
      <c r="C22" s="29"/>
      <c r="D22" s="30" t="s">
        <v>19</v>
      </c>
      <c r="E22" s="35">
        <f t="shared" ref="E22:I22" si="5">E19/2</f>
        <v>2.325</v>
      </c>
      <c r="F22" s="35">
        <f t="shared" si="5"/>
        <v>2.198</v>
      </c>
      <c r="G22" s="35">
        <f t="shared" si="5"/>
        <v>1.985</v>
      </c>
      <c r="H22" s="35">
        <f t="shared" si="5"/>
        <v>1.148</v>
      </c>
      <c r="I22" s="35">
        <f t="shared" si="5"/>
        <v>0.799</v>
      </c>
      <c r="M22" s="13"/>
      <c r="N22" s="13"/>
    </row>
    <row r="23">
      <c r="B23" s="28"/>
      <c r="C23" s="32"/>
      <c r="D23" s="30" t="s">
        <v>22</v>
      </c>
      <c r="E23" s="35">
        <f t="shared" ref="E23:I23" si="6">E20/2</f>
        <v>2.514</v>
      </c>
      <c r="F23" s="35">
        <f t="shared" si="6"/>
        <v>2.437</v>
      </c>
      <c r="G23" s="35">
        <f t="shared" si="6"/>
        <v>2.15</v>
      </c>
      <c r="H23" s="35">
        <f t="shared" si="6"/>
        <v>1.664</v>
      </c>
      <c r="I23" s="35">
        <f t="shared" si="6"/>
        <v>1.299</v>
      </c>
      <c r="M23" s="13"/>
      <c r="N23" s="13"/>
    </row>
    <row r="24">
      <c r="B24" s="28"/>
      <c r="C24" s="34" t="s">
        <v>28</v>
      </c>
      <c r="D24" s="30" t="s">
        <v>18</v>
      </c>
      <c r="E24" s="40">
        <v>862.0</v>
      </c>
      <c r="F24" s="40">
        <v>628.0</v>
      </c>
      <c r="G24" s="40">
        <v>191.0</v>
      </c>
      <c r="H24" s="40">
        <v>142.0</v>
      </c>
      <c r="I24" s="41">
        <v>130.0</v>
      </c>
      <c r="M24" s="13"/>
      <c r="N24" s="13"/>
    </row>
    <row r="25">
      <c r="B25" s="28"/>
      <c r="C25" s="29"/>
      <c r="D25" s="30" t="s">
        <v>19</v>
      </c>
      <c r="E25" s="40">
        <v>968.0</v>
      </c>
      <c r="F25" s="40">
        <v>850.0</v>
      </c>
      <c r="G25" s="40">
        <v>531.0</v>
      </c>
      <c r="H25" s="40">
        <v>264.0</v>
      </c>
      <c r="I25" s="41">
        <v>253.0</v>
      </c>
      <c r="M25" s="13"/>
      <c r="N25" s="13"/>
    </row>
    <row r="26">
      <c r="B26" s="42"/>
      <c r="C26" s="43"/>
      <c r="D26" s="44" t="s">
        <v>22</v>
      </c>
      <c r="E26" s="45">
        <v>816.0</v>
      </c>
      <c r="F26" s="45">
        <v>837.0</v>
      </c>
      <c r="G26" s="45">
        <v>184.0</v>
      </c>
      <c r="H26" s="45">
        <v>170.0</v>
      </c>
      <c r="I26" s="46">
        <v>142.0</v>
      </c>
    </row>
    <row r="27">
      <c r="E27" s="4"/>
      <c r="F27" s="4"/>
      <c r="G27" s="4"/>
      <c r="H27" s="4"/>
      <c r="I27" s="5"/>
    </row>
    <row r="28">
      <c r="B28" s="16" t="s">
        <v>12</v>
      </c>
      <c r="C28" s="16" t="s">
        <v>13</v>
      </c>
      <c r="D28" s="16" t="s">
        <v>14</v>
      </c>
      <c r="E28" s="17" t="s">
        <v>24</v>
      </c>
      <c r="F28" s="18"/>
      <c r="G28" s="18"/>
      <c r="H28" s="18"/>
      <c r="I28" s="19"/>
      <c r="M28" s="3"/>
      <c r="N28" s="3"/>
    </row>
    <row r="29">
      <c r="B29" s="20"/>
      <c r="C29" s="20"/>
      <c r="D29" s="21"/>
      <c r="E29" s="22">
        <v>64.0</v>
      </c>
      <c r="F29" s="22">
        <v>256.0</v>
      </c>
      <c r="G29" s="22">
        <v>512.0</v>
      </c>
      <c r="H29" s="22">
        <v>1024.0</v>
      </c>
      <c r="I29" s="22">
        <v>1500.0</v>
      </c>
      <c r="M29" s="9"/>
      <c r="N29" s="9"/>
    </row>
    <row r="30">
      <c r="B30" s="23" t="s">
        <v>29</v>
      </c>
      <c r="C30" s="24" t="s">
        <v>17</v>
      </c>
      <c r="D30" s="25" t="s">
        <v>18</v>
      </c>
      <c r="E30" s="26">
        <v>2.4</v>
      </c>
      <c r="F30" s="26">
        <v>7.8</v>
      </c>
      <c r="G30" s="26">
        <v>14.2</v>
      </c>
      <c r="H30" s="26">
        <v>24.6</v>
      </c>
      <c r="I30" s="27">
        <v>31.2</v>
      </c>
      <c r="M30" s="9"/>
      <c r="N30" s="9"/>
    </row>
    <row r="31">
      <c r="B31" s="28"/>
      <c r="C31" s="29"/>
      <c r="D31" s="30" t="s">
        <v>19</v>
      </c>
      <c r="E31" s="31">
        <v>1.8</v>
      </c>
      <c r="F31" s="31">
        <v>5.8</v>
      </c>
      <c r="G31" s="31">
        <v>10.6</v>
      </c>
      <c r="H31" s="31">
        <v>18.6</v>
      </c>
      <c r="I31" s="33">
        <v>19.4</v>
      </c>
      <c r="M31" s="9"/>
      <c r="N31" s="9"/>
    </row>
    <row r="32">
      <c r="B32" s="28"/>
      <c r="C32" s="32"/>
      <c r="D32" s="30" t="s">
        <v>22</v>
      </c>
      <c r="E32" s="37">
        <v>2.2</v>
      </c>
      <c r="F32" s="37">
        <v>7.2</v>
      </c>
      <c r="G32" s="37">
        <v>13.0</v>
      </c>
      <c r="H32" s="37">
        <v>22.6</v>
      </c>
      <c r="I32" s="38">
        <v>30.0</v>
      </c>
      <c r="M32" s="9"/>
      <c r="N32" s="9"/>
    </row>
    <row r="33">
      <c r="B33" s="28"/>
      <c r="C33" s="34" t="s">
        <v>23</v>
      </c>
      <c r="D33" s="30" t="s">
        <v>18</v>
      </c>
      <c r="E33" s="35">
        <f t="shared" ref="E33:I33" si="7">E30/2</f>
        <v>1.2</v>
      </c>
      <c r="F33" s="35">
        <f t="shared" si="7"/>
        <v>3.9</v>
      </c>
      <c r="G33" s="35">
        <f t="shared" si="7"/>
        <v>7.1</v>
      </c>
      <c r="H33" s="35">
        <f t="shared" si="7"/>
        <v>12.3</v>
      </c>
      <c r="I33" s="35">
        <f t="shared" si="7"/>
        <v>15.6</v>
      </c>
      <c r="M33" s="9"/>
      <c r="N33" s="9"/>
    </row>
    <row r="34">
      <c r="B34" s="28"/>
      <c r="C34" s="29"/>
      <c r="D34" s="30" t="s">
        <v>19</v>
      </c>
      <c r="E34" s="35">
        <f t="shared" ref="E34:I34" si="8">E31/2</f>
        <v>0.9</v>
      </c>
      <c r="F34" s="35">
        <f t="shared" si="8"/>
        <v>2.9</v>
      </c>
      <c r="G34" s="35">
        <f t="shared" si="8"/>
        <v>5.3</v>
      </c>
      <c r="H34" s="35">
        <f t="shared" si="8"/>
        <v>9.3</v>
      </c>
      <c r="I34" s="35">
        <f t="shared" si="8"/>
        <v>9.7</v>
      </c>
      <c r="M34" s="13"/>
      <c r="N34" s="13"/>
    </row>
    <row r="35">
      <c r="B35" s="28"/>
      <c r="C35" s="32"/>
      <c r="D35" s="30" t="s">
        <v>22</v>
      </c>
      <c r="E35" s="35">
        <f t="shared" ref="E35:I35" si="9">E32/2</f>
        <v>1.1</v>
      </c>
      <c r="F35" s="35">
        <f t="shared" si="9"/>
        <v>3.6</v>
      </c>
      <c r="G35" s="35">
        <f t="shared" si="9"/>
        <v>6.5</v>
      </c>
      <c r="H35" s="35">
        <f t="shared" si="9"/>
        <v>11.3</v>
      </c>
      <c r="I35" s="35">
        <f t="shared" si="9"/>
        <v>15</v>
      </c>
      <c r="M35" s="13"/>
      <c r="N35" s="13"/>
    </row>
    <row r="36">
      <c r="B36" s="28"/>
      <c r="C36" s="34" t="s">
        <v>26</v>
      </c>
      <c r="D36" s="30" t="s">
        <v>18</v>
      </c>
      <c r="E36" s="37">
        <f>1.787*2</f>
        <v>3.574</v>
      </c>
      <c r="F36" s="36">
        <f>1.747*2</f>
        <v>3.494</v>
      </c>
      <c r="G36" s="37">
        <f>1.657*2</f>
        <v>3.314</v>
      </c>
      <c r="H36" s="36">
        <f>1.474*2</f>
        <v>2.948</v>
      </c>
      <c r="I36" s="38">
        <f>1.282*2</f>
        <v>2.564</v>
      </c>
      <c r="M36" s="13"/>
      <c r="N36" s="13"/>
    </row>
    <row r="37">
      <c r="B37" s="28"/>
      <c r="C37" s="29"/>
      <c r="D37" s="30" t="s">
        <v>19</v>
      </c>
      <c r="E37" s="37">
        <f>1.381*2</f>
        <v>2.762</v>
      </c>
      <c r="F37" s="37">
        <f>1.322*2</f>
        <v>2.644</v>
      </c>
      <c r="G37" s="37">
        <f>1.234*2</f>
        <v>2.468</v>
      </c>
      <c r="H37" s="37">
        <f>1.119*2</f>
        <v>2.238</v>
      </c>
      <c r="I37" s="38">
        <f>0.799*2</f>
        <v>1.598</v>
      </c>
      <c r="M37" s="13"/>
      <c r="N37" s="13"/>
    </row>
    <row r="38">
      <c r="B38" s="28"/>
      <c r="C38" s="32"/>
      <c r="D38" s="30" t="s">
        <v>22</v>
      </c>
      <c r="E38" s="37">
        <f>1.671*2</f>
        <v>3.342</v>
      </c>
      <c r="F38" s="37">
        <f>1.623*2</f>
        <v>3.246</v>
      </c>
      <c r="G38" s="37">
        <f>1.537*2</f>
        <v>3.074</v>
      </c>
      <c r="H38" s="37">
        <f>1.349*2</f>
        <v>2.698</v>
      </c>
      <c r="I38" s="38">
        <f>1.237*2</f>
        <v>2.474</v>
      </c>
      <c r="M38" s="13"/>
      <c r="N38" s="13"/>
    </row>
    <row r="39">
      <c r="B39" s="28"/>
      <c r="C39" s="34" t="s">
        <v>27</v>
      </c>
      <c r="D39" s="30" t="s">
        <v>18</v>
      </c>
      <c r="E39" s="35">
        <f t="shared" ref="E39:I39" si="10">E36/2</f>
        <v>1.787</v>
      </c>
      <c r="F39" s="35">
        <f t="shared" si="10"/>
        <v>1.747</v>
      </c>
      <c r="G39" s="35">
        <f t="shared" si="10"/>
        <v>1.657</v>
      </c>
      <c r="H39" s="35">
        <f t="shared" si="10"/>
        <v>1.474</v>
      </c>
      <c r="I39" s="35">
        <f t="shared" si="10"/>
        <v>1.282</v>
      </c>
      <c r="M39" s="13"/>
      <c r="N39" s="13"/>
    </row>
    <row r="40">
      <c r="B40" s="28"/>
      <c r="C40" s="29"/>
      <c r="D40" s="30" t="s">
        <v>19</v>
      </c>
      <c r="E40" s="35">
        <f t="shared" ref="E40:I40" si="11">E37/2</f>
        <v>1.381</v>
      </c>
      <c r="F40" s="35">
        <f t="shared" si="11"/>
        <v>1.322</v>
      </c>
      <c r="G40" s="35">
        <f t="shared" si="11"/>
        <v>1.234</v>
      </c>
      <c r="H40" s="35">
        <f t="shared" si="11"/>
        <v>1.119</v>
      </c>
      <c r="I40" s="35">
        <f t="shared" si="11"/>
        <v>0.799</v>
      </c>
      <c r="M40" s="13"/>
      <c r="N40" s="13"/>
    </row>
    <row r="41">
      <c r="B41" s="28"/>
      <c r="C41" s="32"/>
      <c r="D41" s="30" t="s">
        <v>22</v>
      </c>
      <c r="E41" s="35">
        <f t="shared" ref="E41:I41" si="12">E38/2</f>
        <v>1.671</v>
      </c>
      <c r="F41" s="35">
        <f t="shared" si="12"/>
        <v>1.623</v>
      </c>
      <c r="G41" s="35">
        <f t="shared" si="12"/>
        <v>1.537</v>
      </c>
      <c r="H41" s="35">
        <f t="shared" si="12"/>
        <v>1.349</v>
      </c>
      <c r="I41" s="35">
        <f t="shared" si="12"/>
        <v>1.237</v>
      </c>
      <c r="M41" s="13"/>
      <c r="N41" s="13"/>
    </row>
    <row r="42">
      <c r="B42" s="28"/>
      <c r="C42" s="34" t="s">
        <v>28</v>
      </c>
      <c r="D42" s="30" t="s">
        <v>18</v>
      </c>
      <c r="E42" s="40">
        <v>271.0</v>
      </c>
      <c r="F42" s="40">
        <v>321.0</v>
      </c>
      <c r="G42" s="40">
        <v>290.0</v>
      </c>
      <c r="H42" s="40">
        <v>257.0</v>
      </c>
      <c r="I42" s="41">
        <v>233.0</v>
      </c>
      <c r="M42" s="13"/>
      <c r="N42" s="13"/>
    </row>
    <row r="43">
      <c r="B43" s="28"/>
      <c r="C43" s="29"/>
      <c r="D43" s="30" t="s">
        <v>19</v>
      </c>
      <c r="E43" s="40">
        <v>787.0</v>
      </c>
      <c r="F43" s="40">
        <v>673.0</v>
      </c>
      <c r="G43" s="40">
        <v>191.0</v>
      </c>
      <c r="H43" s="40">
        <v>158.0</v>
      </c>
      <c r="I43" s="41">
        <v>120.0</v>
      </c>
      <c r="M43" s="13"/>
      <c r="N43" s="13"/>
    </row>
    <row r="44">
      <c r="B44" s="42"/>
      <c r="C44" s="43"/>
      <c r="D44" s="44" t="s">
        <v>22</v>
      </c>
      <c r="E44" s="45">
        <v>212.0</v>
      </c>
      <c r="F44" s="45">
        <v>213.0</v>
      </c>
      <c r="G44" s="45">
        <v>219.0</v>
      </c>
      <c r="H44" s="45">
        <v>236.0</v>
      </c>
      <c r="I44" s="46">
        <v>259.0</v>
      </c>
    </row>
    <row r="56">
      <c r="H56" s="4"/>
      <c r="I56" s="4"/>
      <c r="J56" s="4"/>
      <c r="K56" s="4"/>
      <c r="L56" s="5"/>
    </row>
    <row r="57">
      <c r="H57" s="4"/>
      <c r="I57" s="4"/>
      <c r="J57" s="4"/>
      <c r="K57" s="4"/>
      <c r="L57" s="5"/>
    </row>
    <row r="58">
      <c r="H58" s="4"/>
      <c r="I58" s="4"/>
      <c r="J58" s="4"/>
      <c r="K58" s="4"/>
      <c r="L58" s="5"/>
    </row>
    <row r="59">
      <c r="H59" s="4"/>
      <c r="I59" s="4"/>
      <c r="J59" s="4"/>
      <c r="K59" s="4"/>
      <c r="L59" s="5"/>
    </row>
    <row r="60">
      <c r="H60" s="4"/>
      <c r="I60" s="4"/>
      <c r="J60" s="4"/>
      <c r="K60" s="4"/>
      <c r="L60" s="5"/>
    </row>
    <row r="61">
      <c r="H61" s="4"/>
      <c r="I61" s="4"/>
      <c r="J61" s="4"/>
      <c r="K61" s="4"/>
      <c r="L61" s="5"/>
    </row>
    <row r="62">
      <c r="H62" s="4"/>
      <c r="I62" s="4"/>
      <c r="J62" s="4"/>
      <c r="K62" s="4"/>
      <c r="L62" s="5"/>
    </row>
    <row r="63">
      <c r="H63" s="4"/>
      <c r="I63" s="4"/>
      <c r="J63" s="4"/>
      <c r="K63" s="4"/>
      <c r="L63" s="5"/>
    </row>
    <row r="64">
      <c r="H64" s="4"/>
      <c r="I64" s="4"/>
      <c r="J64" s="4"/>
      <c r="K64" s="4"/>
      <c r="L64" s="5"/>
    </row>
    <row r="65">
      <c r="H65" s="4"/>
      <c r="I65" s="4"/>
      <c r="J65" s="4"/>
      <c r="K65" s="4"/>
      <c r="L65" s="5"/>
    </row>
    <row r="66">
      <c r="H66" s="4"/>
      <c r="I66" s="4"/>
      <c r="J66" s="4"/>
      <c r="K66" s="4"/>
      <c r="L66" s="5"/>
    </row>
    <row r="67">
      <c r="H67" s="4"/>
      <c r="I67" s="4"/>
      <c r="J67" s="4"/>
      <c r="K67" s="4"/>
      <c r="L67" s="5"/>
    </row>
    <row r="68">
      <c r="H68" s="4"/>
      <c r="I68" s="4"/>
      <c r="J68" s="4"/>
      <c r="K68" s="4"/>
      <c r="L68" s="5"/>
    </row>
    <row r="69">
      <c r="H69" s="4"/>
      <c r="I69" s="4"/>
      <c r="J69" s="4"/>
      <c r="K69" s="4"/>
      <c r="L69" s="5"/>
    </row>
    <row r="70">
      <c r="H70" s="4"/>
      <c r="I70" s="4"/>
      <c r="J70" s="4"/>
      <c r="K70" s="4"/>
      <c r="L70" s="5"/>
    </row>
    <row r="71">
      <c r="H71" s="4"/>
      <c r="I71" s="4"/>
      <c r="J71" s="4"/>
      <c r="K71" s="4"/>
      <c r="L71" s="5"/>
    </row>
    <row r="72">
      <c r="H72" s="4"/>
      <c r="I72" s="4"/>
      <c r="J72" s="4"/>
      <c r="K72" s="4"/>
      <c r="L72" s="5"/>
    </row>
    <row r="73">
      <c r="H73" s="4"/>
      <c r="I73" s="4"/>
      <c r="J73" s="4"/>
      <c r="K73" s="4"/>
      <c r="L73" s="5"/>
    </row>
    <row r="74">
      <c r="H74" s="4"/>
      <c r="I74" s="4"/>
      <c r="J74" s="4"/>
      <c r="K74" s="4"/>
      <c r="L74" s="5"/>
    </row>
    <row r="75">
      <c r="H75" s="4"/>
      <c r="I75" s="4"/>
      <c r="J75" s="4"/>
      <c r="K75" s="4"/>
      <c r="L75" s="5"/>
    </row>
    <row r="76">
      <c r="H76" s="4"/>
      <c r="I76" s="4"/>
      <c r="J76" s="4"/>
      <c r="K76" s="4"/>
      <c r="L76" s="5"/>
    </row>
    <row r="77">
      <c r="H77" s="4"/>
      <c r="I77" s="4"/>
      <c r="J77" s="4"/>
      <c r="K77" s="4"/>
      <c r="L77" s="5"/>
    </row>
    <row r="78">
      <c r="H78" s="4"/>
      <c r="I78" s="4"/>
      <c r="J78" s="4"/>
      <c r="K78" s="4"/>
      <c r="L78" s="5"/>
    </row>
    <row r="79">
      <c r="H79" s="4"/>
      <c r="I79" s="4"/>
      <c r="J79" s="4"/>
      <c r="K79" s="4"/>
      <c r="L79" s="5"/>
    </row>
    <row r="80">
      <c r="H80" s="4"/>
      <c r="I80" s="4"/>
      <c r="J80" s="4"/>
      <c r="K80" s="4"/>
      <c r="L80" s="5"/>
    </row>
    <row r="81">
      <c r="H81" s="4"/>
      <c r="I81" s="4"/>
      <c r="J81" s="4"/>
      <c r="K81" s="4"/>
      <c r="L81" s="5"/>
    </row>
    <row r="82">
      <c r="H82" s="4"/>
      <c r="I82" s="4"/>
      <c r="J82" s="4"/>
      <c r="K82" s="4"/>
      <c r="L82" s="5"/>
    </row>
    <row r="83">
      <c r="H83" s="4"/>
      <c r="I83" s="4"/>
      <c r="J83" s="4"/>
      <c r="K83" s="4"/>
      <c r="L83" s="5"/>
    </row>
    <row r="84">
      <c r="H84" s="4"/>
      <c r="I84" s="4"/>
      <c r="J84" s="4"/>
      <c r="K84" s="4"/>
      <c r="L84" s="5"/>
    </row>
    <row r="85">
      <c r="H85" s="4"/>
      <c r="I85" s="4"/>
      <c r="J85" s="4"/>
      <c r="K85" s="4"/>
      <c r="L85" s="5"/>
    </row>
    <row r="86">
      <c r="H86" s="4"/>
      <c r="I86" s="4"/>
      <c r="J86" s="4"/>
      <c r="K86" s="4"/>
      <c r="L86" s="5"/>
    </row>
    <row r="87">
      <c r="H87" s="4"/>
      <c r="I87" s="4"/>
      <c r="J87" s="4"/>
      <c r="K87" s="4"/>
      <c r="L87" s="5"/>
    </row>
    <row r="88">
      <c r="H88" s="4"/>
      <c r="I88" s="4"/>
      <c r="J88" s="4"/>
      <c r="K88" s="4"/>
      <c r="L88" s="5"/>
    </row>
    <row r="89">
      <c r="H89" s="4"/>
      <c r="I89" s="4"/>
      <c r="J89" s="4"/>
      <c r="K89" s="4"/>
      <c r="L89" s="5"/>
    </row>
    <row r="90">
      <c r="H90" s="4"/>
      <c r="I90" s="4"/>
      <c r="J90" s="4"/>
      <c r="K90" s="4"/>
      <c r="L90" s="5"/>
    </row>
    <row r="91">
      <c r="H91" s="4"/>
      <c r="I91" s="4"/>
      <c r="J91" s="4"/>
      <c r="K91" s="4"/>
      <c r="L91" s="5"/>
    </row>
    <row r="92">
      <c r="H92" s="4"/>
      <c r="I92" s="4"/>
      <c r="J92" s="4"/>
      <c r="K92" s="4"/>
      <c r="L92" s="5"/>
    </row>
    <row r="93">
      <c r="H93" s="4"/>
      <c r="I93" s="4"/>
      <c r="J93" s="4"/>
      <c r="K93" s="4"/>
      <c r="L93" s="5"/>
    </row>
    <row r="94">
      <c r="H94" s="4"/>
      <c r="I94" s="4"/>
      <c r="J94" s="4"/>
      <c r="K94" s="4"/>
      <c r="L94" s="5"/>
    </row>
    <row r="95">
      <c r="H95" s="4"/>
      <c r="I95" s="4"/>
      <c r="J95" s="4"/>
      <c r="K95" s="4"/>
      <c r="L95" s="5"/>
    </row>
    <row r="96">
      <c r="H96" s="4"/>
      <c r="I96" s="4"/>
      <c r="J96" s="4"/>
      <c r="K96" s="4"/>
      <c r="L96" s="5"/>
    </row>
    <row r="97">
      <c r="H97" s="4"/>
      <c r="I97" s="4"/>
      <c r="J97" s="4"/>
      <c r="K97" s="4"/>
      <c r="L97" s="5"/>
    </row>
    <row r="98">
      <c r="H98" s="4"/>
      <c r="I98" s="4"/>
      <c r="J98" s="4"/>
      <c r="K98" s="4"/>
      <c r="L98" s="5"/>
    </row>
    <row r="99">
      <c r="H99" s="4"/>
      <c r="I99" s="4"/>
      <c r="J99" s="4"/>
      <c r="K99" s="4"/>
      <c r="L99" s="5"/>
    </row>
    <row r="100">
      <c r="H100" s="4"/>
      <c r="I100" s="4"/>
      <c r="J100" s="4"/>
      <c r="K100" s="4"/>
      <c r="L100" s="5"/>
    </row>
    <row r="101">
      <c r="H101" s="4"/>
      <c r="I101" s="4"/>
      <c r="J101" s="4"/>
      <c r="K101" s="4"/>
      <c r="L101" s="5"/>
    </row>
    <row r="102">
      <c r="H102" s="4"/>
      <c r="I102" s="4"/>
      <c r="J102" s="4"/>
      <c r="K102" s="4"/>
      <c r="L102" s="5"/>
    </row>
    <row r="103">
      <c r="H103" s="4"/>
      <c r="I103" s="4"/>
      <c r="J103" s="4"/>
      <c r="K103" s="4"/>
      <c r="L103" s="5"/>
    </row>
    <row r="104">
      <c r="H104" s="4"/>
      <c r="I104" s="4"/>
      <c r="J104" s="4"/>
      <c r="K104" s="4"/>
      <c r="L104" s="5"/>
    </row>
    <row r="105">
      <c r="H105" s="4"/>
      <c r="I105" s="4"/>
      <c r="J105" s="4"/>
      <c r="K105" s="4"/>
      <c r="L105" s="5"/>
    </row>
    <row r="106">
      <c r="H106" s="4"/>
      <c r="I106" s="4"/>
      <c r="J106" s="4"/>
      <c r="K106" s="4"/>
      <c r="L106" s="5"/>
    </row>
    <row r="107">
      <c r="H107" s="4"/>
      <c r="I107" s="4"/>
      <c r="J107" s="4"/>
      <c r="K107" s="4"/>
      <c r="L107" s="5"/>
    </row>
    <row r="108">
      <c r="H108" s="4"/>
      <c r="I108" s="4"/>
      <c r="J108" s="4"/>
      <c r="K108" s="4"/>
      <c r="L108" s="5"/>
    </row>
    <row r="109">
      <c r="H109" s="4"/>
      <c r="I109" s="4"/>
      <c r="J109" s="4"/>
      <c r="K109" s="4"/>
      <c r="L109" s="5"/>
    </row>
    <row r="110">
      <c r="H110" s="4"/>
      <c r="I110" s="4"/>
      <c r="J110" s="4"/>
      <c r="K110" s="4"/>
      <c r="L110" s="5"/>
    </row>
    <row r="111">
      <c r="H111" s="4"/>
      <c r="I111" s="4"/>
      <c r="J111" s="4"/>
      <c r="K111" s="4"/>
      <c r="L111" s="5"/>
    </row>
    <row r="112">
      <c r="H112" s="4"/>
      <c r="I112" s="4"/>
      <c r="J112" s="4"/>
      <c r="K112" s="4"/>
      <c r="L112" s="5"/>
    </row>
    <row r="113">
      <c r="H113" s="4"/>
      <c r="I113" s="4"/>
      <c r="J113" s="4"/>
      <c r="K113" s="4"/>
      <c r="L113" s="5"/>
    </row>
    <row r="114">
      <c r="H114" s="4"/>
      <c r="I114" s="4"/>
      <c r="J114" s="4"/>
      <c r="K114" s="4"/>
      <c r="L114" s="5"/>
    </row>
    <row r="115">
      <c r="H115" s="4"/>
      <c r="I115" s="4"/>
      <c r="J115" s="4"/>
      <c r="K115" s="4"/>
      <c r="L115" s="5"/>
    </row>
    <row r="116">
      <c r="H116" s="4"/>
      <c r="I116" s="4"/>
      <c r="J116" s="4"/>
      <c r="K116" s="4"/>
      <c r="L116" s="5"/>
    </row>
    <row r="117">
      <c r="H117" s="4"/>
      <c r="I117" s="4"/>
      <c r="J117" s="4"/>
      <c r="K117" s="4"/>
      <c r="L117" s="5"/>
    </row>
    <row r="118">
      <c r="H118" s="4"/>
      <c r="I118" s="4"/>
      <c r="J118" s="4"/>
      <c r="K118" s="4"/>
      <c r="L118" s="5"/>
    </row>
    <row r="119">
      <c r="H119" s="4"/>
      <c r="I119" s="4"/>
      <c r="J119" s="4"/>
      <c r="K119" s="4"/>
      <c r="L119" s="5"/>
    </row>
    <row r="120">
      <c r="H120" s="4"/>
      <c r="I120" s="4"/>
      <c r="J120" s="4"/>
      <c r="K120" s="4"/>
      <c r="L120" s="5"/>
    </row>
    <row r="121">
      <c r="H121" s="4"/>
      <c r="I121" s="4"/>
      <c r="J121" s="4"/>
      <c r="K121" s="4"/>
      <c r="L121" s="5"/>
    </row>
    <row r="122">
      <c r="H122" s="4"/>
      <c r="I122" s="4"/>
      <c r="J122" s="4"/>
      <c r="K122" s="4"/>
      <c r="L122" s="5"/>
    </row>
    <row r="123">
      <c r="H123" s="4"/>
      <c r="I123" s="4"/>
      <c r="J123" s="4"/>
      <c r="K123" s="4"/>
      <c r="L123" s="5"/>
    </row>
    <row r="124">
      <c r="H124" s="4"/>
      <c r="I124" s="4"/>
      <c r="J124" s="4"/>
      <c r="K124" s="4"/>
      <c r="L124" s="5"/>
    </row>
    <row r="125">
      <c r="H125" s="4"/>
      <c r="I125" s="4"/>
      <c r="J125" s="4"/>
      <c r="K125" s="4"/>
      <c r="L125" s="5"/>
    </row>
    <row r="126">
      <c r="H126" s="4"/>
      <c r="I126" s="4"/>
      <c r="J126" s="4"/>
      <c r="K126" s="4"/>
      <c r="L126" s="5"/>
    </row>
    <row r="127">
      <c r="H127" s="4"/>
      <c r="I127" s="4"/>
      <c r="J127" s="4"/>
      <c r="K127" s="4"/>
      <c r="L127" s="5"/>
    </row>
    <row r="128">
      <c r="H128" s="4"/>
      <c r="I128" s="4"/>
      <c r="J128" s="4"/>
      <c r="K128" s="4"/>
      <c r="L128" s="5"/>
    </row>
    <row r="129">
      <c r="H129" s="4"/>
      <c r="I129" s="4"/>
      <c r="J129" s="4"/>
      <c r="K129" s="4"/>
      <c r="L129" s="5"/>
    </row>
    <row r="130">
      <c r="H130" s="4"/>
      <c r="I130" s="4"/>
      <c r="J130" s="4"/>
      <c r="K130" s="4"/>
      <c r="L130" s="5"/>
    </row>
    <row r="131">
      <c r="H131" s="4"/>
      <c r="I131" s="4"/>
      <c r="J131" s="4"/>
      <c r="K131" s="4"/>
      <c r="L131" s="5"/>
    </row>
    <row r="132">
      <c r="H132" s="4"/>
      <c r="I132" s="4"/>
      <c r="J132" s="4"/>
      <c r="K132" s="4"/>
      <c r="L132" s="5"/>
    </row>
    <row r="133">
      <c r="H133" s="4"/>
      <c r="I133" s="4"/>
      <c r="J133" s="4"/>
      <c r="K133" s="4"/>
      <c r="L133" s="5"/>
    </row>
    <row r="134">
      <c r="H134" s="4"/>
      <c r="I134" s="4"/>
      <c r="J134" s="4"/>
      <c r="K134" s="4"/>
      <c r="L134" s="5"/>
    </row>
    <row r="135">
      <c r="H135" s="4"/>
      <c r="I135" s="4"/>
      <c r="J135" s="4"/>
      <c r="K135" s="4"/>
      <c r="L135" s="5"/>
    </row>
    <row r="136">
      <c r="H136" s="4"/>
      <c r="I136" s="4"/>
      <c r="J136" s="4"/>
      <c r="K136" s="4"/>
      <c r="L136" s="5"/>
    </row>
    <row r="137">
      <c r="H137" s="4"/>
      <c r="I137" s="4"/>
      <c r="J137" s="4"/>
      <c r="K137" s="4"/>
      <c r="L137" s="5"/>
    </row>
    <row r="138">
      <c r="H138" s="4"/>
      <c r="I138" s="4"/>
      <c r="J138" s="4"/>
      <c r="K138" s="4"/>
      <c r="L138" s="5"/>
    </row>
    <row r="139">
      <c r="H139" s="4"/>
      <c r="I139" s="4"/>
      <c r="J139" s="4"/>
      <c r="K139" s="4"/>
      <c r="L139" s="5"/>
    </row>
    <row r="140">
      <c r="H140" s="4"/>
      <c r="I140" s="4"/>
      <c r="J140" s="4"/>
      <c r="K140" s="4"/>
      <c r="L140" s="5"/>
    </row>
  </sheetData>
  <mergeCells count="24">
    <mergeCell ref="C10:C11"/>
    <mergeCell ref="E10:I10"/>
    <mergeCell ref="B10:B11"/>
    <mergeCell ref="C12:C14"/>
    <mergeCell ref="C15:C17"/>
    <mergeCell ref="C18:C20"/>
    <mergeCell ref="C21:C23"/>
    <mergeCell ref="C24:C26"/>
    <mergeCell ref="B30:B44"/>
    <mergeCell ref="C30:C32"/>
    <mergeCell ref="C33:C35"/>
    <mergeCell ref="C36:C38"/>
    <mergeCell ref="C39:C41"/>
    <mergeCell ref="C42:C44"/>
    <mergeCell ref="B28:B29"/>
    <mergeCell ref="C28:C29"/>
    <mergeCell ref="E28:I28"/>
    <mergeCell ref="A2:C2"/>
    <mergeCell ref="A3:B3"/>
    <mergeCell ref="A4:B4"/>
    <mergeCell ref="A5:B5"/>
    <mergeCell ref="A6:B6"/>
    <mergeCell ref="A7:B7"/>
    <mergeCell ref="B12:B2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29"/>
    <col customWidth="1" min="4" max="4" width="31.86"/>
  </cols>
  <sheetData>
    <row r="2">
      <c r="A2" s="1" t="s">
        <v>0</v>
      </c>
      <c r="B2" s="2">
        <v>2003.0</v>
      </c>
    </row>
    <row r="5">
      <c r="A5" s="6" t="s">
        <v>1</v>
      </c>
      <c r="B5" s="7"/>
      <c r="C5" s="8"/>
      <c r="E5" s="6" t="s">
        <v>68</v>
      </c>
      <c r="F5" s="7"/>
      <c r="G5" s="8"/>
    </row>
    <row r="6">
      <c r="A6" s="10" t="s">
        <v>2</v>
      </c>
      <c r="B6" s="8"/>
      <c r="C6" s="11" t="s">
        <v>3</v>
      </c>
      <c r="E6" s="99" t="s">
        <v>84</v>
      </c>
      <c r="F6" s="100"/>
      <c r="G6" s="101"/>
    </row>
    <row r="7">
      <c r="A7" s="10" t="s">
        <v>5</v>
      </c>
      <c r="B7" s="8"/>
      <c r="C7" s="11" t="s">
        <v>25</v>
      </c>
      <c r="E7" s="102"/>
      <c r="G7" s="103"/>
    </row>
    <row r="8">
      <c r="A8" s="10" t="s">
        <v>4</v>
      </c>
      <c r="B8" s="8"/>
      <c r="C8" s="12">
        <v>1.0E-5</v>
      </c>
      <c r="E8" s="102"/>
      <c r="G8" s="103"/>
    </row>
    <row r="9">
      <c r="A9" s="10" t="s">
        <v>14</v>
      </c>
      <c r="B9" s="8"/>
      <c r="C9" s="11" t="s">
        <v>18</v>
      </c>
      <c r="E9" s="104"/>
      <c r="F9" s="105"/>
      <c r="G9" s="106"/>
    </row>
    <row r="10">
      <c r="A10" s="10" t="s">
        <v>70</v>
      </c>
      <c r="B10" s="8"/>
      <c r="C10" s="11" t="s">
        <v>71</v>
      </c>
    </row>
    <row r="11">
      <c r="A11" s="10" t="s">
        <v>79</v>
      </c>
      <c r="B11" s="8"/>
      <c r="C11" s="11" t="s">
        <v>74</v>
      </c>
    </row>
    <row r="12">
      <c r="A12" s="10" t="s">
        <v>7</v>
      </c>
      <c r="B12" s="8"/>
      <c r="C12" s="11" t="s">
        <v>21</v>
      </c>
    </row>
    <row r="16">
      <c r="D16" s="128" t="s">
        <v>13</v>
      </c>
      <c r="E16" s="129" t="s">
        <v>12</v>
      </c>
      <c r="F16" s="130" t="s">
        <v>87</v>
      </c>
      <c r="G16" s="8"/>
    </row>
    <row r="17">
      <c r="D17" s="32"/>
      <c r="E17" s="129"/>
      <c r="F17" s="129" t="s">
        <v>89</v>
      </c>
      <c r="G17" s="129" t="s">
        <v>90</v>
      </c>
    </row>
    <row r="18">
      <c r="D18" s="34" t="s">
        <v>17</v>
      </c>
      <c r="E18" s="30" t="s">
        <v>16</v>
      </c>
      <c r="F18" s="35">
        <v>3.8</v>
      </c>
      <c r="G18" s="35">
        <v>3.4</v>
      </c>
    </row>
    <row r="19">
      <c r="D19" s="32"/>
      <c r="E19" s="30" t="s">
        <v>29</v>
      </c>
      <c r="F19" s="35">
        <v>2.4</v>
      </c>
      <c r="G19" s="35">
        <v>2.2</v>
      </c>
    </row>
    <row r="20">
      <c r="D20" s="34" t="s">
        <v>23</v>
      </c>
      <c r="E20" s="30" t="s">
        <v>16</v>
      </c>
      <c r="F20" s="35">
        <f t="shared" ref="F20:G20" si="1">F18/2</f>
        <v>1.9</v>
      </c>
      <c r="G20" s="35">
        <f t="shared" si="1"/>
        <v>1.7</v>
      </c>
    </row>
    <row r="21">
      <c r="D21" s="32"/>
      <c r="E21" s="30" t="s">
        <v>29</v>
      </c>
      <c r="F21" s="35">
        <f>F19/2</f>
        <v>1.2</v>
      </c>
      <c r="G21" s="35">
        <f>G19/4</f>
        <v>0.55</v>
      </c>
    </row>
    <row r="22">
      <c r="D22" s="34" t="s">
        <v>26</v>
      </c>
      <c r="E22" s="30" t="s">
        <v>16</v>
      </c>
      <c r="F22" s="35">
        <f>2.781*2</f>
        <v>5.562</v>
      </c>
      <c r="G22" s="35">
        <f>2.483*2</f>
        <v>4.966</v>
      </c>
    </row>
    <row r="23">
      <c r="D23" s="32"/>
      <c r="E23" s="30" t="s">
        <v>29</v>
      </c>
      <c r="F23" s="35">
        <f>1.814*2</f>
        <v>3.628</v>
      </c>
      <c r="G23" s="35">
        <f>1.674*2</f>
        <v>3.348</v>
      </c>
    </row>
    <row r="24">
      <c r="D24" s="34" t="s">
        <v>27</v>
      </c>
      <c r="E24" s="30" t="s">
        <v>16</v>
      </c>
      <c r="F24" s="35">
        <f t="shared" ref="F24:G24" si="2">F22/2</f>
        <v>2.781</v>
      </c>
      <c r="G24" s="35">
        <f t="shared" si="2"/>
        <v>2.483</v>
      </c>
    </row>
    <row r="25">
      <c r="D25" s="32"/>
      <c r="E25" s="30" t="s">
        <v>29</v>
      </c>
      <c r="F25" s="35">
        <f t="shared" ref="F25:G25" si="3">F23/2</f>
        <v>1.814</v>
      </c>
      <c r="G25" s="35">
        <f t="shared" si="3"/>
        <v>1.674</v>
      </c>
    </row>
    <row r="26">
      <c r="D26" s="34" t="s">
        <v>28</v>
      </c>
      <c r="E26" s="30" t="s">
        <v>16</v>
      </c>
      <c r="F26" s="131">
        <v>922.0</v>
      </c>
      <c r="G26" s="131">
        <v>992.0</v>
      </c>
    </row>
    <row r="27">
      <c r="D27" s="32"/>
      <c r="E27" s="30" t="s">
        <v>29</v>
      </c>
      <c r="F27" s="131">
        <v>276.0</v>
      </c>
      <c r="G27" s="131">
        <v>476.0</v>
      </c>
    </row>
  </sheetData>
  <mergeCells count="17">
    <mergeCell ref="A5:C5"/>
    <mergeCell ref="E5:G5"/>
    <mergeCell ref="A6:B6"/>
    <mergeCell ref="E6:G9"/>
    <mergeCell ref="A7:B7"/>
    <mergeCell ref="A8:B8"/>
    <mergeCell ref="A9:B9"/>
    <mergeCell ref="D22:D23"/>
    <mergeCell ref="D24:D25"/>
    <mergeCell ref="D26:D27"/>
    <mergeCell ref="A10:B10"/>
    <mergeCell ref="A11:B11"/>
    <mergeCell ref="A12:B12"/>
    <mergeCell ref="D16:D17"/>
    <mergeCell ref="F16:G16"/>
    <mergeCell ref="D18:D19"/>
    <mergeCell ref="D20:D2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29"/>
    <col customWidth="1" min="4" max="4" width="17.14"/>
    <col customWidth="1" min="5" max="5" width="28.71"/>
  </cols>
  <sheetData>
    <row r="2">
      <c r="A2" s="1" t="s">
        <v>0</v>
      </c>
      <c r="B2" s="2">
        <v>2003.0</v>
      </c>
    </row>
    <row r="5">
      <c r="A5" s="6" t="s">
        <v>1</v>
      </c>
      <c r="B5" s="7"/>
      <c r="C5" s="8"/>
      <c r="E5" s="6" t="s">
        <v>68</v>
      </c>
      <c r="F5" s="7"/>
      <c r="G5" s="8"/>
    </row>
    <row r="6">
      <c r="A6" s="10" t="s">
        <v>2</v>
      </c>
      <c r="B6" s="8"/>
      <c r="C6" s="11" t="s">
        <v>3</v>
      </c>
      <c r="E6" s="140" t="s">
        <v>102</v>
      </c>
      <c r="F6" s="100"/>
      <c r="G6" s="101"/>
    </row>
    <row r="7">
      <c r="A7" s="10" t="s">
        <v>5</v>
      </c>
      <c r="B7" s="8"/>
      <c r="C7" s="11" t="s">
        <v>25</v>
      </c>
      <c r="E7" s="102"/>
      <c r="G7" s="103"/>
    </row>
    <row r="8">
      <c r="A8" s="10" t="s">
        <v>4</v>
      </c>
      <c r="B8" s="8"/>
      <c r="C8" s="12">
        <v>1.0E-5</v>
      </c>
      <c r="E8" s="102"/>
      <c r="G8" s="103"/>
    </row>
    <row r="9">
      <c r="A9" s="10" t="s">
        <v>14</v>
      </c>
      <c r="B9" s="8"/>
      <c r="C9" s="11" t="s">
        <v>18</v>
      </c>
      <c r="E9" s="104"/>
      <c r="F9" s="105"/>
      <c r="G9" s="106"/>
    </row>
    <row r="10">
      <c r="A10" s="10" t="s">
        <v>70</v>
      </c>
      <c r="B10" s="8"/>
      <c r="C10" s="11" t="s">
        <v>71</v>
      </c>
    </row>
    <row r="11">
      <c r="A11" s="10" t="s">
        <v>79</v>
      </c>
      <c r="B11" s="8"/>
      <c r="C11" s="11" t="s">
        <v>74</v>
      </c>
    </row>
    <row r="12">
      <c r="A12" s="10" t="s">
        <v>7</v>
      </c>
      <c r="B12" s="8"/>
      <c r="C12" s="11" t="s">
        <v>21</v>
      </c>
    </row>
    <row r="16">
      <c r="D16" s="141" t="s">
        <v>12</v>
      </c>
      <c r="E16" s="141" t="s">
        <v>13</v>
      </c>
      <c r="F16" s="141" t="s">
        <v>103</v>
      </c>
      <c r="G16" s="142" t="s">
        <v>15</v>
      </c>
      <c r="H16" s="18"/>
      <c r="I16" s="18"/>
      <c r="J16" s="18"/>
      <c r="K16" s="19"/>
    </row>
    <row r="17">
      <c r="D17" s="20"/>
      <c r="E17" s="20"/>
      <c r="F17" s="143"/>
      <c r="G17" s="144">
        <v>64.0</v>
      </c>
      <c r="H17" s="144">
        <v>256.0</v>
      </c>
      <c r="I17" s="144">
        <v>512.0</v>
      </c>
      <c r="J17" s="144">
        <v>1024.0</v>
      </c>
      <c r="K17" s="144">
        <v>1500.0</v>
      </c>
    </row>
    <row r="18">
      <c r="D18" s="23" t="s">
        <v>16</v>
      </c>
      <c r="E18" s="24" t="s">
        <v>17</v>
      </c>
      <c r="F18" s="25" t="s">
        <v>106</v>
      </c>
      <c r="G18" s="145">
        <v>3.8</v>
      </c>
      <c r="H18" s="145">
        <v>11.8</v>
      </c>
      <c r="I18" s="145">
        <v>21.4</v>
      </c>
      <c r="J18" s="145">
        <v>36.8</v>
      </c>
      <c r="K18" s="146">
        <v>38.4</v>
      </c>
    </row>
    <row r="19">
      <c r="D19" s="28"/>
      <c r="E19" s="32"/>
      <c r="F19" s="30" t="s">
        <v>10</v>
      </c>
      <c r="G19" s="145">
        <v>3.8</v>
      </c>
      <c r="H19" s="145">
        <v>11.8</v>
      </c>
      <c r="I19" s="145">
        <v>21.2</v>
      </c>
      <c r="J19" s="145">
        <v>36.6</v>
      </c>
      <c r="K19" s="146">
        <v>38.4</v>
      </c>
    </row>
    <row r="20">
      <c r="D20" s="28"/>
      <c r="E20" s="34" t="s">
        <v>23</v>
      </c>
      <c r="F20" s="25" t="s">
        <v>106</v>
      </c>
      <c r="G20" s="35">
        <f t="shared" ref="G20:K20" si="1">G18/4</f>
        <v>0.95</v>
      </c>
      <c r="H20" s="35">
        <f t="shared" si="1"/>
        <v>2.95</v>
      </c>
      <c r="I20" s="35">
        <f t="shared" si="1"/>
        <v>5.35</v>
      </c>
      <c r="J20" s="35">
        <f t="shared" si="1"/>
        <v>9.2</v>
      </c>
      <c r="K20" s="39">
        <f t="shared" si="1"/>
        <v>9.6</v>
      </c>
    </row>
    <row r="21">
      <c r="D21" s="28"/>
      <c r="E21" s="32"/>
      <c r="F21" s="30" t="s">
        <v>10</v>
      </c>
      <c r="G21" s="35">
        <f t="shared" ref="G21:K21" si="2">G19/4</f>
        <v>0.95</v>
      </c>
      <c r="H21" s="35">
        <f t="shared" si="2"/>
        <v>2.95</v>
      </c>
      <c r="I21" s="35">
        <f t="shared" si="2"/>
        <v>5.3</v>
      </c>
      <c r="J21" s="35">
        <f t="shared" si="2"/>
        <v>9.15</v>
      </c>
      <c r="K21" s="39">
        <f t="shared" si="2"/>
        <v>9.6</v>
      </c>
    </row>
    <row r="22">
      <c r="D22" s="28"/>
      <c r="E22" s="34" t="s">
        <v>26</v>
      </c>
      <c r="F22" s="25" t="s">
        <v>106</v>
      </c>
      <c r="G22" s="127">
        <f>2.776*2</f>
        <v>5.552</v>
      </c>
      <c r="H22" s="127">
        <f>2.68*2</f>
        <v>5.36</v>
      </c>
      <c r="I22" s="35">
        <f>2.517*2</f>
        <v>5.034</v>
      </c>
      <c r="J22" s="127">
        <f>2.208*2</f>
        <v>4.416</v>
      </c>
      <c r="K22" s="39">
        <f>1.578*2</f>
        <v>3.156</v>
      </c>
    </row>
    <row r="23">
      <c r="D23" s="28"/>
      <c r="E23" s="32"/>
      <c r="F23" s="30" t="s">
        <v>10</v>
      </c>
      <c r="G23" s="127">
        <f>2.761*2</f>
        <v>5.522</v>
      </c>
      <c r="H23" s="127">
        <f>2.663*2</f>
        <v>5.326</v>
      </c>
      <c r="I23" s="35">
        <f> 2.494*2</f>
        <v>4.988</v>
      </c>
      <c r="J23" s="127">
        <f> 2.194*2</f>
        <v>4.388</v>
      </c>
      <c r="K23" s="39">
        <f> 1.58*2</f>
        <v>3.16</v>
      </c>
    </row>
    <row r="24">
      <c r="D24" s="28"/>
      <c r="E24" s="34" t="s">
        <v>27</v>
      </c>
      <c r="F24" s="25" t="s">
        <v>106</v>
      </c>
      <c r="G24" s="35">
        <f t="shared" ref="G24:K24" si="3">G22/2</f>
        <v>2.776</v>
      </c>
      <c r="H24" s="35">
        <f t="shared" si="3"/>
        <v>2.68</v>
      </c>
      <c r="I24" s="35">
        <f t="shared" si="3"/>
        <v>2.517</v>
      </c>
      <c r="J24" s="35">
        <f t="shared" si="3"/>
        <v>2.208</v>
      </c>
      <c r="K24" s="39">
        <f t="shared" si="3"/>
        <v>1.578</v>
      </c>
    </row>
    <row r="25">
      <c r="D25" s="28"/>
      <c r="E25" s="32"/>
      <c r="F25" s="30" t="s">
        <v>10</v>
      </c>
      <c r="G25" s="35">
        <f t="shared" ref="G25:K25" si="4">G23/2</f>
        <v>2.761</v>
      </c>
      <c r="H25" s="35">
        <f t="shared" si="4"/>
        <v>2.663</v>
      </c>
      <c r="I25" s="35">
        <f t="shared" si="4"/>
        <v>2.494</v>
      </c>
      <c r="J25" s="35">
        <f t="shared" si="4"/>
        <v>2.194</v>
      </c>
      <c r="K25" s="39">
        <f t="shared" si="4"/>
        <v>1.58</v>
      </c>
    </row>
    <row r="26">
      <c r="D26" s="28"/>
      <c r="E26" s="34" t="s">
        <v>28</v>
      </c>
      <c r="F26" s="25" t="s">
        <v>106</v>
      </c>
      <c r="G26" s="131">
        <v>851.0</v>
      </c>
      <c r="H26" s="131">
        <v>625.0</v>
      </c>
      <c r="I26" s="131">
        <v>469.0</v>
      </c>
      <c r="J26" s="131">
        <v>337.0</v>
      </c>
      <c r="K26" s="148">
        <v>215.0</v>
      </c>
    </row>
    <row r="27">
      <c r="D27" s="42"/>
      <c r="E27" s="43"/>
      <c r="F27" s="30" t="s">
        <v>10</v>
      </c>
      <c r="G27" s="131">
        <v>718.0</v>
      </c>
      <c r="H27" s="131">
        <v>487.0</v>
      </c>
      <c r="I27" s="131">
        <v>379.0</v>
      </c>
      <c r="J27" s="131">
        <v>286.0</v>
      </c>
      <c r="K27" s="148">
        <v>228.0</v>
      </c>
    </row>
    <row r="32">
      <c r="D32" s="141" t="s">
        <v>12</v>
      </c>
      <c r="E32" s="141" t="s">
        <v>13</v>
      </c>
      <c r="F32" s="141" t="s">
        <v>103</v>
      </c>
      <c r="G32" s="142" t="s">
        <v>15</v>
      </c>
      <c r="H32" s="18"/>
      <c r="I32" s="18"/>
      <c r="J32" s="18"/>
      <c r="K32" s="19"/>
    </row>
    <row r="33">
      <c r="D33" s="20"/>
      <c r="E33" s="20"/>
      <c r="F33" s="143"/>
      <c r="G33" s="144">
        <v>64.0</v>
      </c>
      <c r="H33" s="144">
        <v>256.0</v>
      </c>
      <c r="I33" s="144">
        <v>512.0</v>
      </c>
      <c r="J33" s="144">
        <v>1024.0</v>
      </c>
      <c r="K33" s="144">
        <v>1500.0</v>
      </c>
    </row>
    <row r="34">
      <c r="D34" s="23" t="s">
        <v>29</v>
      </c>
      <c r="E34" s="24" t="s">
        <v>17</v>
      </c>
      <c r="F34" s="25" t="s">
        <v>106</v>
      </c>
      <c r="G34" s="145">
        <v>2.4</v>
      </c>
      <c r="H34" s="145">
        <v>7.8</v>
      </c>
      <c r="I34" s="145">
        <v>14.2</v>
      </c>
      <c r="J34" s="145">
        <v>24.8</v>
      </c>
      <c r="K34" s="146">
        <v>33.4</v>
      </c>
    </row>
    <row r="35">
      <c r="D35" s="28"/>
      <c r="E35" s="32"/>
      <c r="F35" s="30" t="s">
        <v>10</v>
      </c>
      <c r="G35" s="145">
        <f>2.4</f>
        <v>2.4</v>
      </c>
      <c r="H35" s="145">
        <v>7.6</v>
      </c>
      <c r="I35" s="145">
        <v>14.0</v>
      </c>
      <c r="J35" s="145">
        <v>24.4</v>
      </c>
      <c r="K35" s="146">
        <v>32.6</v>
      </c>
    </row>
    <row r="36">
      <c r="D36" s="28"/>
      <c r="E36" s="34" t="s">
        <v>23</v>
      </c>
      <c r="F36" s="25" t="s">
        <v>106</v>
      </c>
      <c r="G36" s="35">
        <f t="shared" ref="G36:K36" si="5">G34/2</f>
        <v>1.2</v>
      </c>
      <c r="H36" s="35">
        <f t="shared" si="5"/>
        <v>3.9</v>
      </c>
      <c r="I36" s="35">
        <f t="shared" si="5"/>
        <v>7.1</v>
      </c>
      <c r="J36" s="35">
        <f t="shared" si="5"/>
        <v>12.4</v>
      </c>
      <c r="K36" s="39">
        <f t="shared" si="5"/>
        <v>16.7</v>
      </c>
    </row>
    <row r="37">
      <c r="D37" s="28"/>
      <c r="E37" s="32"/>
      <c r="F37" s="30" t="s">
        <v>10</v>
      </c>
      <c r="G37" s="35">
        <f t="shared" ref="G37:K37" si="6">G35/2</f>
        <v>1.2</v>
      </c>
      <c r="H37" s="35">
        <f t="shared" si="6"/>
        <v>3.8</v>
      </c>
      <c r="I37" s="35">
        <f t="shared" si="6"/>
        <v>7</v>
      </c>
      <c r="J37" s="35">
        <f t="shared" si="6"/>
        <v>12.2</v>
      </c>
      <c r="K37" s="39">
        <f t="shared" si="6"/>
        <v>16.3</v>
      </c>
    </row>
    <row r="38">
      <c r="D38" s="28"/>
      <c r="E38" s="34" t="s">
        <v>26</v>
      </c>
      <c r="F38" s="25" t="s">
        <v>106</v>
      </c>
      <c r="G38" s="127">
        <f>1.817 *2</f>
        <v>3.634</v>
      </c>
      <c r="H38" s="127">
        <f>1.769*2</f>
        <v>3.538</v>
      </c>
      <c r="I38" s="35">
        <f>1.668*2</f>
        <v>3.336</v>
      </c>
      <c r="J38" s="127">
        <f>1.484*2</f>
        <v>2.968</v>
      </c>
      <c r="K38" s="39">
        <f>1.369*2</f>
        <v>2.738</v>
      </c>
    </row>
    <row r="39">
      <c r="D39" s="28"/>
      <c r="E39" s="32"/>
      <c r="F39" s="30" t="s">
        <v>10</v>
      </c>
      <c r="G39" s="35">
        <f>1.787*2</f>
        <v>3.574</v>
      </c>
      <c r="H39" s="127">
        <f>1.743*2</f>
        <v>3.486</v>
      </c>
      <c r="I39" s="35">
        <f>1.652*2</f>
        <v>3.304</v>
      </c>
      <c r="J39" s="127">
        <f>1.458*2</f>
        <v>2.916</v>
      </c>
      <c r="K39" s="39">
        <f>1.34*2</f>
        <v>2.68</v>
      </c>
    </row>
    <row r="40">
      <c r="D40" s="28"/>
      <c r="E40" s="34" t="s">
        <v>27</v>
      </c>
      <c r="F40" s="25" t="s">
        <v>106</v>
      </c>
      <c r="G40" s="35">
        <f t="shared" ref="G40:K40" si="7">G38/2</f>
        <v>1.817</v>
      </c>
      <c r="H40" s="35">
        <f t="shared" si="7"/>
        <v>1.769</v>
      </c>
      <c r="I40" s="35">
        <f t="shared" si="7"/>
        <v>1.668</v>
      </c>
      <c r="J40" s="35">
        <f t="shared" si="7"/>
        <v>1.484</v>
      </c>
      <c r="K40" s="39">
        <f t="shared" si="7"/>
        <v>1.369</v>
      </c>
    </row>
    <row r="41">
      <c r="D41" s="28"/>
      <c r="E41" s="32"/>
      <c r="F41" s="30" t="s">
        <v>10</v>
      </c>
      <c r="G41" s="35">
        <f t="shared" ref="G41:K41" si="8">G39/2</f>
        <v>1.787</v>
      </c>
      <c r="H41" s="35">
        <f t="shared" si="8"/>
        <v>1.743</v>
      </c>
      <c r="I41" s="35">
        <f t="shared" si="8"/>
        <v>1.652</v>
      </c>
      <c r="J41" s="35">
        <f t="shared" si="8"/>
        <v>1.458</v>
      </c>
      <c r="K41" s="39">
        <f t="shared" si="8"/>
        <v>1.34</v>
      </c>
    </row>
    <row r="42">
      <c r="D42" s="28"/>
      <c r="E42" s="34" t="s">
        <v>28</v>
      </c>
      <c r="F42" s="25" t="s">
        <v>106</v>
      </c>
      <c r="G42" s="131">
        <v>294.0</v>
      </c>
      <c r="H42" s="131">
        <v>321.0</v>
      </c>
      <c r="I42" s="131">
        <v>249.0</v>
      </c>
      <c r="J42" s="131">
        <v>257.0</v>
      </c>
      <c r="K42" s="148">
        <v>283.0</v>
      </c>
    </row>
    <row r="43">
      <c r="D43" s="42"/>
      <c r="E43" s="43"/>
      <c r="F43" s="30" t="s">
        <v>10</v>
      </c>
      <c r="G43" s="131">
        <v>323.0</v>
      </c>
      <c r="H43" s="131">
        <v>292.0</v>
      </c>
      <c r="I43" s="131">
        <v>256.0</v>
      </c>
      <c r="J43" s="131">
        <v>218.0</v>
      </c>
      <c r="K43" s="148">
        <v>242.0</v>
      </c>
    </row>
  </sheetData>
  <mergeCells count="28">
    <mergeCell ref="A5:C5"/>
    <mergeCell ref="E5:G5"/>
    <mergeCell ref="A6:B6"/>
    <mergeCell ref="E6:G9"/>
    <mergeCell ref="A7:B7"/>
    <mergeCell ref="A8:B8"/>
    <mergeCell ref="A9:B9"/>
    <mergeCell ref="E18:E19"/>
    <mergeCell ref="E20:E21"/>
    <mergeCell ref="E26:E27"/>
    <mergeCell ref="G32:K32"/>
    <mergeCell ref="A10:B10"/>
    <mergeCell ref="A11:B11"/>
    <mergeCell ref="A12:B12"/>
    <mergeCell ref="D16:D17"/>
    <mergeCell ref="E16:E17"/>
    <mergeCell ref="G16:K16"/>
    <mergeCell ref="D18:D27"/>
    <mergeCell ref="E38:E39"/>
    <mergeCell ref="E40:E41"/>
    <mergeCell ref="E22:E23"/>
    <mergeCell ref="E24:E25"/>
    <mergeCell ref="D32:D33"/>
    <mergeCell ref="E32:E33"/>
    <mergeCell ref="D34:D43"/>
    <mergeCell ref="E34:E35"/>
    <mergeCell ref="E36:E37"/>
    <mergeCell ref="E42:E4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14"/>
    <col customWidth="1" min="3" max="3" width="31.0"/>
    <col customWidth="1" min="15" max="16" width="179.14"/>
  </cols>
  <sheetData>
    <row r="1">
      <c r="E1" s="4"/>
      <c r="F1" s="4"/>
      <c r="G1" s="4"/>
      <c r="H1" s="4"/>
    </row>
    <row r="2">
      <c r="A2" s="1" t="s">
        <v>0</v>
      </c>
      <c r="B2" s="2">
        <v>2003.0</v>
      </c>
      <c r="E2" s="4"/>
      <c r="F2" s="4"/>
      <c r="G2" s="4"/>
      <c r="H2" s="4"/>
    </row>
    <row r="3">
      <c r="E3" s="4"/>
      <c r="F3" s="4"/>
      <c r="G3" s="4"/>
      <c r="H3" s="4"/>
    </row>
    <row r="4">
      <c r="E4" s="4"/>
      <c r="F4" s="4"/>
      <c r="G4" s="4"/>
      <c r="H4" s="4"/>
    </row>
    <row r="5">
      <c r="A5" s="6" t="s">
        <v>1</v>
      </c>
      <c r="B5" s="7"/>
      <c r="C5" s="8"/>
      <c r="E5" s="6" t="s">
        <v>68</v>
      </c>
      <c r="F5" s="7"/>
      <c r="G5" s="8"/>
      <c r="H5" s="4"/>
    </row>
    <row r="6">
      <c r="A6" s="10" t="s">
        <v>5</v>
      </c>
      <c r="B6" s="8"/>
      <c r="C6" s="11" t="s">
        <v>132</v>
      </c>
      <c r="E6" s="99" t="s">
        <v>133</v>
      </c>
      <c r="F6" s="100"/>
      <c r="G6" s="101"/>
      <c r="H6" s="4"/>
    </row>
    <row r="7">
      <c r="A7" s="10" t="s">
        <v>4</v>
      </c>
      <c r="B7" s="8"/>
      <c r="C7" s="12">
        <v>1.0E-5</v>
      </c>
      <c r="E7" s="102"/>
      <c r="G7" s="103"/>
      <c r="H7" s="4"/>
    </row>
    <row r="8">
      <c r="A8" s="10" t="s">
        <v>14</v>
      </c>
      <c r="B8" s="8"/>
      <c r="C8" s="11" t="s">
        <v>18</v>
      </c>
      <c r="E8" s="104"/>
      <c r="F8" s="105"/>
      <c r="G8" s="106"/>
      <c r="H8" s="4"/>
    </row>
    <row r="9">
      <c r="A9" s="10" t="s">
        <v>70</v>
      </c>
      <c r="B9" s="8"/>
      <c r="C9" s="11" t="s">
        <v>71</v>
      </c>
      <c r="E9" s="4"/>
      <c r="F9" s="4"/>
      <c r="G9" s="4"/>
      <c r="H9" s="4"/>
    </row>
    <row r="10">
      <c r="A10" s="10" t="s">
        <v>79</v>
      </c>
      <c r="B10" s="8"/>
      <c r="C10" s="11" t="s">
        <v>74</v>
      </c>
      <c r="E10" s="4"/>
      <c r="F10" s="4"/>
      <c r="G10" s="4"/>
      <c r="H10" s="4"/>
    </row>
    <row r="11">
      <c r="A11" s="10" t="s">
        <v>7</v>
      </c>
      <c r="B11" s="8"/>
      <c r="C11" s="11" t="s">
        <v>134</v>
      </c>
      <c r="E11" s="4"/>
      <c r="F11" s="4"/>
      <c r="G11" s="4"/>
      <c r="H11" s="4"/>
    </row>
    <row r="12">
      <c r="A12" s="10" t="s">
        <v>9</v>
      </c>
      <c r="B12" s="8"/>
      <c r="C12" s="11" t="s">
        <v>10</v>
      </c>
      <c r="E12" s="4"/>
      <c r="F12" s="4"/>
      <c r="G12" s="4"/>
      <c r="H12" s="4"/>
    </row>
    <row r="13">
      <c r="E13" s="4"/>
      <c r="F13" s="4"/>
      <c r="G13" s="4"/>
      <c r="H13" s="4"/>
    </row>
    <row r="14">
      <c r="E14" s="4"/>
      <c r="F14" s="4"/>
      <c r="G14" s="4"/>
      <c r="H14" s="4"/>
    </row>
    <row r="15">
      <c r="B15" s="174" t="s">
        <v>12</v>
      </c>
      <c r="C15" s="175" t="s">
        <v>13</v>
      </c>
      <c r="D15" s="175" t="s">
        <v>136</v>
      </c>
      <c r="E15" s="176" t="s">
        <v>24</v>
      </c>
      <c r="F15" s="177"/>
      <c r="G15" s="177"/>
      <c r="H15" s="177"/>
      <c r="I15" s="178"/>
    </row>
    <row r="16">
      <c r="B16" s="179"/>
      <c r="C16" s="20"/>
      <c r="D16" s="21"/>
      <c r="E16" s="16">
        <v>64.0</v>
      </c>
      <c r="F16" s="16">
        <v>256.0</v>
      </c>
      <c r="G16" s="16">
        <v>512.0</v>
      </c>
      <c r="H16" s="16">
        <v>1024.0</v>
      </c>
      <c r="I16" s="180">
        <v>1500.0</v>
      </c>
    </row>
    <row r="17">
      <c r="B17" s="24" t="s">
        <v>16</v>
      </c>
      <c r="C17" s="24" t="s">
        <v>17</v>
      </c>
      <c r="D17" s="25" t="s">
        <v>137</v>
      </c>
      <c r="E17" s="37">
        <f t="shared" ref="E17:I17" si="1">E21*2</f>
        <v>4.49207706</v>
      </c>
      <c r="F17" s="37">
        <f t="shared" si="1"/>
        <v>11.80396838</v>
      </c>
      <c r="G17" s="37">
        <f t="shared" si="1"/>
        <v>23.09510656</v>
      </c>
      <c r="H17" s="37">
        <f t="shared" si="1"/>
        <v>49.31508766</v>
      </c>
      <c r="I17" s="37">
        <f t="shared" si="1"/>
        <v>62.09550157</v>
      </c>
    </row>
    <row r="18">
      <c r="B18" s="29"/>
      <c r="C18" s="29"/>
      <c r="D18" s="30" t="s">
        <v>138</v>
      </c>
      <c r="E18" s="37">
        <f t="shared" ref="E18:I18" si="2">E22*2</f>
        <v>7.763393886</v>
      </c>
      <c r="F18" s="37">
        <f t="shared" si="2"/>
        <v>25.85368068</v>
      </c>
      <c r="G18" s="37">
        <f t="shared" si="2"/>
        <v>48.25179208</v>
      </c>
      <c r="H18" s="37">
        <f t="shared" si="2"/>
        <v>81.58734689</v>
      </c>
      <c r="I18" s="37">
        <f t="shared" si="2"/>
        <v>90.68781002</v>
      </c>
    </row>
    <row r="19" ht="13.5" customHeight="1">
      <c r="B19" s="29"/>
      <c r="C19" s="29"/>
      <c r="D19" s="30" t="s">
        <v>139</v>
      </c>
      <c r="E19" s="37">
        <f t="shared" ref="E19:I19" si="3">E23*2</f>
        <v>6.835716707</v>
      </c>
      <c r="F19" s="37">
        <f t="shared" si="3"/>
        <v>20.31182804</v>
      </c>
      <c r="G19" s="37">
        <f t="shared" si="3"/>
        <v>38.81657938</v>
      </c>
      <c r="H19" s="37">
        <f t="shared" si="3"/>
        <v>67.95430076</v>
      </c>
      <c r="I19" s="37">
        <f t="shared" si="3"/>
        <v>87.27718704</v>
      </c>
    </row>
    <row r="20" ht="13.5" customHeight="1">
      <c r="B20" s="29"/>
      <c r="C20" s="32"/>
      <c r="D20" s="30" t="s">
        <v>140</v>
      </c>
      <c r="E20" s="37">
        <f t="shared" ref="E20:I20" si="4">E24*2</f>
        <v>7.89763628</v>
      </c>
      <c r="F20" s="37">
        <f t="shared" si="4"/>
        <v>26.25603966</v>
      </c>
      <c r="G20" s="37">
        <f t="shared" si="4"/>
        <v>47.75223331</v>
      </c>
      <c r="H20" s="37">
        <f t="shared" si="4"/>
        <v>81.53905585</v>
      </c>
      <c r="I20" s="37">
        <f t="shared" si="4"/>
        <v>90.61732749</v>
      </c>
    </row>
    <row r="21" ht="13.5" customHeight="1">
      <c r="B21" s="29"/>
      <c r="C21" s="34" t="s">
        <v>141</v>
      </c>
      <c r="D21" s="25" t="s">
        <v>137</v>
      </c>
      <c r="E21" s="35">
        <f>D59</f>
        <v>2.24603853</v>
      </c>
      <c r="F21" s="35">
        <f>D60</f>
        <v>5.901984191</v>
      </c>
      <c r="G21" s="35">
        <f>D61</f>
        <v>11.54755328</v>
      </c>
      <c r="H21" s="35">
        <f>D62</f>
        <v>24.65754383</v>
      </c>
      <c r="I21" s="35">
        <f>D63</f>
        <v>31.04775078</v>
      </c>
    </row>
    <row r="22">
      <c r="B22" s="29"/>
      <c r="C22" s="29"/>
      <c r="D22" s="30" t="s">
        <v>138</v>
      </c>
      <c r="E22" s="35">
        <f>D64</f>
        <v>3.881696943</v>
      </c>
      <c r="F22" s="35">
        <f>D65</f>
        <v>12.92684034</v>
      </c>
      <c r="G22" s="35">
        <f>D66</f>
        <v>24.12589604</v>
      </c>
      <c r="H22" s="35">
        <f>D67</f>
        <v>40.79367344</v>
      </c>
      <c r="I22" s="35">
        <f>D68</f>
        <v>45.34390501</v>
      </c>
    </row>
    <row r="23">
      <c r="B23" s="29"/>
      <c r="C23" s="29"/>
      <c r="D23" s="30" t="s">
        <v>139</v>
      </c>
      <c r="E23" s="35">
        <f>D69</f>
        <v>3.417858354</v>
      </c>
      <c r="F23" s="35">
        <f>D70</f>
        <v>10.15591402</v>
      </c>
      <c r="G23" s="35">
        <f>D71</f>
        <v>19.40828969</v>
      </c>
      <c r="H23" s="35">
        <f>D72</f>
        <v>33.97715038</v>
      </c>
      <c r="I23" s="35">
        <f>D73</f>
        <v>43.63859352</v>
      </c>
    </row>
    <row r="24">
      <c r="B24" s="29"/>
      <c r="C24" s="32"/>
      <c r="D24" s="30" t="s">
        <v>140</v>
      </c>
      <c r="E24" s="35">
        <f>D74</f>
        <v>3.94881814</v>
      </c>
      <c r="F24" s="35">
        <f>D75</f>
        <v>13.12801983</v>
      </c>
      <c r="G24" s="35">
        <f>D76</f>
        <v>23.87611665</v>
      </c>
      <c r="H24" s="35">
        <f>D77</f>
        <v>40.76952793</v>
      </c>
      <c r="I24" s="35">
        <f>D78</f>
        <v>45.30866375</v>
      </c>
    </row>
    <row r="25">
      <c r="B25" s="29"/>
      <c r="C25" s="34" t="s">
        <v>26</v>
      </c>
      <c r="D25" s="25" t="s">
        <v>137</v>
      </c>
      <c r="E25" s="36">
        <f>$E59*2</f>
        <v>6.684638482</v>
      </c>
      <c r="F25" s="36">
        <f>$E60*2</f>
        <v>5.346000173</v>
      </c>
      <c r="G25" s="36">
        <f>$E61*2</f>
        <v>5.426481804</v>
      </c>
      <c r="H25" s="36">
        <f>$E62*2</f>
        <v>5.90458425</v>
      </c>
      <c r="I25" s="36">
        <f>$E63*2</f>
        <v>5.106537958</v>
      </c>
    </row>
    <row r="26">
      <c r="B26" s="29"/>
      <c r="C26" s="29"/>
      <c r="D26" s="30" t="s">
        <v>138</v>
      </c>
      <c r="E26" s="37">
        <f>E64*2</f>
        <v>11.55266947</v>
      </c>
      <c r="F26" s="36">
        <f>$E65*2</f>
        <v>11.70909451</v>
      </c>
      <c r="G26" s="36">
        <f>$E66*2</f>
        <v>11.33735716</v>
      </c>
      <c r="H26" s="36">
        <f>$E67*2</f>
        <v>9.768599962</v>
      </c>
      <c r="I26" s="36">
        <f>$E68*2</f>
        <v>7.457879113</v>
      </c>
    </row>
    <row r="27">
      <c r="B27" s="29"/>
      <c r="C27" s="29"/>
      <c r="D27" s="30" t="s">
        <v>139</v>
      </c>
      <c r="E27" s="37">
        <f>E69*2</f>
        <v>10.17219748</v>
      </c>
      <c r="F27" s="36">
        <f>$E70*2</f>
        <v>9.199197481</v>
      </c>
      <c r="G27" s="36">
        <f>$E71*2</f>
        <v>9.120436885</v>
      </c>
      <c r="H27" s="36">
        <f>$E72*2</f>
        <v>8.1362908</v>
      </c>
      <c r="I27" s="36">
        <f>$E73*2</f>
        <v>7.17740025</v>
      </c>
    </row>
    <row r="28">
      <c r="B28" s="29"/>
      <c r="C28" s="32"/>
      <c r="D28" s="30" t="s">
        <v>140</v>
      </c>
      <c r="E28" s="37">
        <f>E74*2</f>
        <v>11.75243494</v>
      </c>
      <c r="F28" s="36">
        <f>$E75*2</f>
        <v>11.89132231</v>
      </c>
      <c r="G28" s="36">
        <f>$E76*2</f>
        <v>11.21997963</v>
      </c>
      <c r="H28" s="36">
        <f>$E77*2</f>
        <v>9.76281799</v>
      </c>
      <c r="I28" s="36">
        <f>$E78*2</f>
        <v>7.452082853</v>
      </c>
    </row>
    <row r="29">
      <c r="B29" s="29"/>
      <c r="C29" s="34" t="s">
        <v>27</v>
      </c>
      <c r="D29" s="25" t="s">
        <v>137</v>
      </c>
      <c r="E29" s="35">
        <f t="shared" ref="E29:I29" si="5">E25/2</f>
        <v>3.342319241</v>
      </c>
      <c r="F29" s="35">
        <f t="shared" si="5"/>
        <v>2.673000086</v>
      </c>
      <c r="G29" s="35">
        <f t="shared" si="5"/>
        <v>2.713240902</v>
      </c>
      <c r="H29" s="35">
        <f t="shared" si="5"/>
        <v>2.952292125</v>
      </c>
      <c r="I29" s="35">
        <f t="shared" si="5"/>
        <v>2.553268979</v>
      </c>
    </row>
    <row r="30">
      <c r="B30" s="29"/>
      <c r="C30" s="29"/>
      <c r="D30" s="30" t="s">
        <v>138</v>
      </c>
      <c r="E30" s="35">
        <f t="shared" ref="E30:I30" si="6">E26/4</f>
        <v>2.888167368</v>
      </c>
      <c r="F30" s="35">
        <f t="shared" si="6"/>
        <v>2.927273627</v>
      </c>
      <c r="G30" s="35">
        <f t="shared" si="6"/>
        <v>2.83433929</v>
      </c>
      <c r="H30" s="35">
        <f t="shared" si="6"/>
        <v>2.442149991</v>
      </c>
      <c r="I30" s="35">
        <f t="shared" si="6"/>
        <v>1.864469778</v>
      </c>
    </row>
    <row r="31">
      <c r="B31" s="29"/>
      <c r="C31" s="29"/>
      <c r="D31" s="30" t="s">
        <v>139</v>
      </c>
      <c r="E31" s="35">
        <f t="shared" ref="E31:I31" si="7">E27/6</f>
        <v>1.695366247</v>
      </c>
      <c r="F31" s="35">
        <f t="shared" si="7"/>
        <v>1.53319958</v>
      </c>
      <c r="G31" s="35">
        <f t="shared" si="7"/>
        <v>1.520072814</v>
      </c>
      <c r="H31" s="35">
        <f t="shared" si="7"/>
        <v>1.356048467</v>
      </c>
      <c r="I31" s="35">
        <f t="shared" si="7"/>
        <v>1.196233375</v>
      </c>
    </row>
    <row r="32">
      <c r="B32" s="29"/>
      <c r="C32" s="32"/>
      <c r="D32" s="30" t="s">
        <v>140</v>
      </c>
      <c r="E32" s="185">
        <f t="shared" ref="E32:I32" si="8">E28/8</f>
        <v>1.469054368</v>
      </c>
      <c r="F32" s="186">
        <f t="shared" si="8"/>
        <v>1.486415289</v>
      </c>
      <c r="G32" s="186">
        <f t="shared" si="8"/>
        <v>1.402497454</v>
      </c>
      <c r="H32" s="186">
        <f t="shared" si="8"/>
        <v>1.220352249</v>
      </c>
      <c r="I32" s="186">
        <f t="shared" si="8"/>
        <v>0.9315103566</v>
      </c>
    </row>
    <row r="33">
      <c r="B33" s="29"/>
      <c r="C33" s="34" t="s">
        <v>28</v>
      </c>
      <c r="D33" s="25" t="s">
        <v>137</v>
      </c>
      <c r="E33" s="40">
        <f>F59</f>
        <v>112</v>
      </c>
      <c r="F33" s="40">
        <f>F60</f>
        <v>97</v>
      </c>
      <c r="G33" s="40">
        <f>F61</f>
        <v>107</v>
      </c>
      <c r="H33" s="40">
        <f>F62</f>
        <v>140</v>
      </c>
      <c r="I33" s="40">
        <f>F63</f>
        <v>139</v>
      </c>
    </row>
    <row r="34">
      <c r="B34" s="29"/>
      <c r="C34" s="29"/>
      <c r="D34" s="30" t="s">
        <v>138</v>
      </c>
      <c r="E34" s="40">
        <f>F64</f>
        <v>176</v>
      </c>
      <c r="F34" s="40">
        <f>F65</f>
        <v>235</v>
      </c>
      <c r="G34" s="40">
        <f>F66</f>
        <v>255</v>
      </c>
      <c r="H34" s="40">
        <f>F67</f>
        <v>206</v>
      </c>
      <c r="I34" s="40">
        <f>F68</f>
        <v>206</v>
      </c>
    </row>
    <row r="35">
      <c r="B35" s="29"/>
      <c r="C35" s="29"/>
      <c r="D35" s="30" t="s">
        <v>139</v>
      </c>
      <c r="E35" s="40">
        <f>F69</f>
        <v>164</v>
      </c>
      <c r="F35" s="40">
        <f>F70</f>
        <v>123</v>
      </c>
      <c r="G35" s="40">
        <f>F71</f>
        <v>143</v>
      </c>
      <c r="H35" s="40">
        <f>F72</f>
        <v>156</v>
      </c>
      <c r="I35" s="40">
        <f>F73</f>
        <v>175</v>
      </c>
    </row>
    <row r="36">
      <c r="A36" s="14"/>
      <c r="B36" s="43"/>
      <c r="C36" s="43"/>
      <c r="D36" s="30" t="s">
        <v>140</v>
      </c>
      <c r="E36" s="40">
        <f>F74</f>
        <v>241</v>
      </c>
      <c r="F36" s="40">
        <f>F75</f>
        <v>230</v>
      </c>
      <c r="G36" s="40">
        <f>F76</f>
        <v>181</v>
      </c>
      <c r="H36" s="40">
        <f>F77</f>
        <v>203</v>
      </c>
      <c r="I36" s="40">
        <f>F78</f>
        <v>169</v>
      </c>
    </row>
    <row r="37">
      <c r="A37" s="14"/>
      <c r="B37" s="24" t="s">
        <v>29</v>
      </c>
      <c r="C37" s="24" t="s">
        <v>17</v>
      </c>
      <c r="D37" s="25" t="s">
        <v>137</v>
      </c>
      <c r="E37" s="37"/>
      <c r="F37" s="37"/>
      <c r="G37" s="37"/>
      <c r="H37" s="37"/>
      <c r="I37" s="37"/>
    </row>
    <row r="38">
      <c r="A38" s="14"/>
      <c r="B38" s="29"/>
      <c r="C38" s="29"/>
      <c r="D38" s="30" t="s">
        <v>138</v>
      </c>
      <c r="E38" s="37"/>
      <c r="F38" s="37"/>
      <c r="G38" s="37"/>
      <c r="H38" s="31"/>
      <c r="I38" s="31"/>
    </row>
    <row r="39">
      <c r="A39" s="14"/>
      <c r="B39" s="29"/>
      <c r="C39" s="29"/>
      <c r="D39" s="30" t="s">
        <v>139</v>
      </c>
      <c r="E39" s="31"/>
      <c r="F39" s="31"/>
      <c r="G39" s="31"/>
      <c r="H39" s="31"/>
      <c r="I39" s="31"/>
    </row>
    <row r="40">
      <c r="A40" s="14"/>
      <c r="B40" s="29"/>
      <c r="C40" s="32"/>
      <c r="D40" s="30" t="s">
        <v>140</v>
      </c>
      <c r="E40" s="31"/>
      <c r="F40" s="31"/>
      <c r="G40" s="31"/>
      <c r="H40" s="31"/>
      <c r="I40" s="31"/>
    </row>
    <row r="41">
      <c r="A41" s="14"/>
      <c r="B41" s="29"/>
      <c r="C41" s="34" t="s">
        <v>23</v>
      </c>
      <c r="D41" s="25" t="s">
        <v>137</v>
      </c>
      <c r="E41" s="35"/>
      <c r="F41" s="35"/>
      <c r="G41" s="35"/>
      <c r="H41" s="35"/>
      <c r="I41" s="35"/>
    </row>
    <row r="42">
      <c r="A42" s="14"/>
      <c r="B42" s="29"/>
      <c r="C42" s="29"/>
      <c r="D42" s="30" t="s">
        <v>138</v>
      </c>
      <c r="E42" s="35"/>
      <c r="F42" s="35"/>
      <c r="G42" s="35"/>
      <c r="H42" s="35"/>
      <c r="I42" s="35"/>
    </row>
    <row r="43">
      <c r="A43" s="14"/>
      <c r="B43" s="29"/>
      <c r="C43" s="29"/>
      <c r="D43" s="30" t="s">
        <v>139</v>
      </c>
      <c r="E43" s="35"/>
      <c r="F43" s="35"/>
      <c r="G43" s="35"/>
      <c r="H43" s="35"/>
      <c r="I43" s="35"/>
    </row>
    <row r="44">
      <c r="A44" s="14"/>
      <c r="B44" s="29"/>
      <c r="C44" s="32"/>
      <c r="D44" s="30" t="s">
        <v>140</v>
      </c>
      <c r="E44" s="35"/>
      <c r="F44" s="35"/>
      <c r="G44" s="35"/>
      <c r="H44" s="35"/>
      <c r="I44" s="35"/>
    </row>
    <row r="45">
      <c r="A45" s="14"/>
      <c r="B45" s="29"/>
      <c r="C45" s="34" t="s">
        <v>26</v>
      </c>
      <c r="D45" s="25" t="s">
        <v>137</v>
      </c>
      <c r="E45" s="36"/>
      <c r="F45" s="36"/>
      <c r="G45" s="37"/>
      <c r="H45" s="36"/>
      <c r="I45" s="37"/>
    </row>
    <row r="46">
      <c r="A46" s="14"/>
      <c r="B46" s="29"/>
      <c r="C46" s="29"/>
      <c r="D46" s="30" t="s">
        <v>138</v>
      </c>
      <c r="E46" s="37"/>
      <c r="F46" s="37"/>
      <c r="G46" s="37"/>
      <c r="H46" s="37"/>
      <c r="I46" s="37"/>
    </row>
    <row r="47">
      <c r="A47" s="14"/>
      <c r="B47" s="29"/>
      <c r="C47" s="29"/>
      <c r="D47" s="30" t="s">
        <v>139</v>
      </c>
      <c r="E47" s="37"/>
      <c r="F47" s="37"/>
      <c r="G47" s="37"/>
      <c r="H47" s="37"/>
      <c r="I47" s="37"/>
    </row>
    <row r="48">
      <c r="A48" s="14"/>
      <c r="B48" s="29"/>
      <c r="C48" s="32"/>
      <c r="D48" s="30" t="s">
        <v>140</v>
      </c>
      <c r="E48" s="37"/>
      <c r="F48" s="37"/>
      <c r="G48" s="37"/>
      <c r="H48" s="37"/>
      <c r="I48" s="37"/>
    </row>
    <row r="49">
      <c r="A49" s="14"/>
      <c r="B49" s="29"/>
      <c r="C49" s="34" t="s">
        <v>27</v>
      </c>
      <c r="D49" s="25" t="s">
        <v>137</v>
      </c>
      <c r="E49" s="35"/>
      <c r="F49" s="35"/>
      <c r="G49" s="35"/>
      <c r="H49" s="35"/>
      <c r="I49" s="35"/>
    </row>
    <row r="50">
      <c r="A50" s="14"/>
      <c r="B50" s="29"/>
      <c r="C50" s="29"/>
      <c r="D50" s="30" t="s">
        <v>138</v>
      </c>
      <c r="E50" s="35"/>
      <c r="F50" s="35"/>
      <c r="G50" s="35"/>
      <c r="H50" s="35"/>
      <c r="I50" s="35"/>
    </row>
    <row r="51">
      <c r="A51" s="14"/>
      <c r="B51" s="29"/>
      <c r="C51" s="29"/>
      <c r="D51" s="30" t="s">
        <v>139</v>
      </c>
      <c r="E51" s="35"/>
      <c r="F51" s="35"/>
      <c r="G51" s="35"/>
      <c r="H51" s="35"/>
      <c r="I51" s="35"/>
    </row>
    <row r="52">
      <c r="A52" s="14"/>
      <c r="B52" s="29"/>
      <c r="C52" s="32"/>
      <c r="D52" s="30" t="s">
        <v>140</v>
      </c>
      <c r="E52" s="35"/>
      <c r="F52" s="35"/>
      <c r="G52" s="35"/>
      <c r="H52" s="35"/>
      <c r="I52" s="35"/>
    </row>
    <row r="53">
      <c r="A53" s="14"/>
      <c r="B53" s="29"/>
      <c r="C53" s="34" t="s">
        <v>28</v>
      </c>
      <c r="D53" s="25" t="s">
        <v>137</v>
      </c>
      <c r="E53" s="40"/>
      <c r="F53" s="40"/>
      <c r="G53" s="40"/>
      <c r="H53" s="40"/>
      <c r="I53" s="40"/>
    </row>
    <row r="54">
      <c r="A54" s="14"/>
      <c r="B54" s="29"/>
      <c r="C54" s="29"/>
      <c r="D54" s="30" t="s">
        <v>138</v>
      </c>
      <c r="E54" s="40"/>
      <c r="F54" s="40"/>
      <c r="G54" s="40"/>
      <c r="H54" s="40"/>
      <c r="I54" s="40"/>
    </row>
    <row r="55">
      <c r="A55" s="14"/>
      <c r="B55" s="29"/>
      <c r="C55" s="29"/>
      <c r="D55" s="30" t="s">
        <v>139</v>
      </c>
      <c r="E55" s="40"/>
      <c r="F55" s="40"/>
      <c r="G55" s="40"/>
      <c r="H55" s="40"/>
      <c r="I55" s="40"/>
    </row>
    <row r="56">
      <c r="A56" s="14"/>
      <c r="B56" s="32"/>
      <c r="C56" s="32"/>
      <c r="D56" s="30" t="s">
        <v>140</v>
      </c>
      <c r="E56" s="40"/>
      <c r="F56" s="40"/>
      <c r="G56" s="40"/>
      <c r="H56" s="40"/>
      <c r="I56" s="40"/>
    </row>
    <row r="57">
      <c r="A57" s="14"/>
      <c r="B57" s="14"/>
      <c r="C57" s="132"/>
      <c r="D57" s="9"/>
      <c r="E57" s="9"/>
      <c r="F57" s="9"/>
      <c r="G57" s="9"/>
      <c r="H57" s="9"/>
      <c r="I57" s="9"/>
    </row>
    <row r="58">
      <c r="A58" s="14" t="s">
        <v>58</v>
      </c>
      <c r="B58" s="14" t="s">
        <v>33</v>
      </c>
      <c r="C58" s="132" t="s">
        <v>34</v>
      </c>
      <c r="D58" s="9" t="s">
        <v>35</v>
      </c>
      <c r="E58" s="9" t="s">
        <v>36</v>
      </c>
      <c r="F58" s="9" t="s">
        <v>37</v>
      </c>
      <c r="G58" s="9" t="s">
        <v>38</v>
      </c>
      <c r="H58" s="9" t="s">
        <v>39</v>
      </c>
      <c r="I58" s="9" t="s">
        <v>40</v>
      </c>
    </row>
    <row r="59">
      <c r="A59" s="14" t="s">
        <v>146</v>
      </c>
      <c r="B59" s="14">
        <v>16384.0</v>
      </c>
      <c r="C59" s="132">
        <v>64.0</v>
      </c>
      <c r="D59" s="133">
        <v>2.24603853011884</v>
      </c>
      <c r="E59" s="133">
        <v>3.34231924124827</v>
      </c>
      <c r="F59" s="9">
        <v>112.0</v>
      </c>
      <c r="G59" s="9">
        <v>1003.0</v>
      </c>
      <c r="H59" s="9">
        <v>1574.0</v>
      </c>
      <c r="I59" s="188">
        <v>7.47341192453713E-4</v>
      </c>
    </row>
    <row r="60">
      <c r="A60" s="14" t="s">
        <v>146</v>
      </c>
      <c r="B60" s="14">
        <v>16384.0</v>
      </c>
      <c r="C60" s="112">
        <v>256.0</v>
      </c>
      <c r="D60" s="133">
        <v>5.90198419078627</v>
      </c>
      <c r="E60" s="133">
        <v>2.67300008640682</v>
      </c>
      <c r="F60" s="9">
        <v>97.0</v>
      </c>
      <c r="G60" s="9">
        <v>652.0</v>
      </c>
      <c r="H60" s="9">
        <v>1039.0</v>
      </c>
      <c r="I60" s="188">
        <v>6.16849805158579E-4</v>
      </c>
    </row>
    <row r="61">
      <c r="A61" s="14" t="s">
        <v>146</v>
      </c>
      <c r="B61" s="14">
        <v>16384.0</v>
      </c>
      <c r="C61" s="112">
        <v>512.0</v>
      </c>
      <c r="D61" s="133">
        <v>11.5475532779577</v>
      </c>
      <c r="E61" s="133">
        <v>2.71324090177578</v>
      </c>
      <c r="F61" s="9">
        <v>107.0</v>
      </c>
      <c r="G61" s="9">
        <v>676.0</v>
      </c>
      <c r="H61" s="9">
        <v>1694.0</v>
      </c>
      <c r="I61" s="188">
        <v>9.90800736846927E-4</v>
      </c>
    </row>
    <row r="62">
      <c r="A62" s="14" t="s">
        <v>146</v>
      </c>
      <c r="B62" s="14">
        <v>16384.0</v>
      </c>
      <c r="C62" s="112">
        <v>1024.0</v>
      </c>
      <c r="D62" s="133">
        <v>24.6575438288078</v>
      </c>
      <c r="E62" s="133">
        <v>2.95229212509673</v>
      </c>
      <c r="F62" s="9">
        <v>140.0</v>
      </c>
      <c r="G62" s="9">
        <v>710.0</v>
      </c>
      <c r="H62" s="9">
        <v>1270.0</v>
      </c>
      <c r="I62" s="188">
        <v>6.82673456332598E-4</v>
      </c>
      <c r="M62" s="132"/>
      <c r="N62" s="189"/>
      <c r="O62" s="189"/>
    </row>
    <row r="63">
      <c r="A63" s="14" t="s">
        <v>146</v>
      </c>
      <c r="B63" s="14">
        <v>16384.0</v>
      </c>
      <c r="C63" s="112">
        <v>1500.0</v>
      </c>
      <c r="D63" s="133">
        <v>31.0477507835503</v>
      </c>
      <c r="E63" s="133">
        <v>2.55326897891039</v>
      </c>
      <c r="F63" s="9">
        <v>139.0</v>
      </c>
      <c r="G63" s="9">
        <v>1829.0</v>
      </c>
      <c r="H63" s="9">
        <v>1138.0</v>
      </c>
      <c r="I63" s="188">
        <v>7.0732859678425E-4</v>
      </c>
      <c r="M63" s="190"/>
      <c r="N63" s="189"/>
      <c r="O63" s="189"/>
    </row>
    <row r="64">
      <c r="A64" s="14" t="s">
        <v>147</v>
      </c>
      <c r="B64" s="14">
        <v>16384.0</v>
      </c>
      <c r="C64" s="112">
        <v>64.0</v>
      </c>
      <c r="D64" s="133">
        <v>3.88169694297449</v>
      </c>
      <c r="E64" s="133">
        <v>5.77633473656918</v>
      </c>
      <c r="F64" s="9">
        <v>176.0</v>
      </c>
      <c r="G64" s="9">
        <v>4614.0</v>
      </c>
      <c r="H64" s="9">
        <v>3328.0</v>
      </c>
      <c r="I64" s="188">
        <v>9.14310561428773E-4</v>
      </c>
      <c r="M64" s="190"/>
      <c r="N64" s="189"/>
      <c r="O64" s="189"/>
    </row>
    <row r="65">
      <c r="A65" s="14" t="s">
        <v>147</v>
      </c>
      <c r="B65" s="14">
        <v>16384.0</v>
      </c>
      <c r="C65" s="112">
        <v>256.0</v>
      </c>
      <c r="D65" s="133">
        <v>12.9268403388338</v>
      </c>
      <c r="E65" s="133">
        <v>5.85454725490663</v>
      </c>
      <c r="F65" s="9">
        <v>235.0</v>
      </c>
      <c r="G65" s="9">
        <v>6343.0</v>
      </c>
      <c r="H65" s="9">
        <v>1896.0</v>
      </c>
      <c r="I65" s="188">
        <v>5.13936361629434E-4</v>
      </c>
      <c r="M65" s="190"/>
      <c r="N65" s="189"/>
      <c r="O65" s="189"/>
    </row>
    <row r="66">
      <c r="A66" s="14" t="s">
        <v>147</v>
      </c>
      <c r="B66" s="14">
        <v>16384.0</v>
      </c>
      <c r="C66" s="112">
        <v>512.0</v>
      </c>
      <c r="D66" s="133">
        <v>24.1258960389771</v>
      </c>
      <c r="E66" s="133">
        <v>5.66867858058674</v>
      </c>
      <c r="F66" s="9">
        <v>255.0</v>
      </c>
      <c r="G66" s="9">
        <v>3280.0</v>
      </c>
      <c r="H66" s="9">
        <v>573.0</v>
      </c>
      <c r="I66" s="188">
        <v>1.60419660968696E-4</v>
      </c>
      <c r="M66" s="190"/>
      <c r="N66" s="189"/>
      <c r="O66" s="189"/>
    </row>
    <row r="67">
      <c r="A67" s="14" t="s">
        <v>147</v>
      </c>
      <c r="B67" s="14">
        <v>16384.0</v>
      </c>
      <c r="C67" s="112">
        <v>1024.0</v>
      </c>
      <c r="D67" s="133">
        <v>40.7936734425223</v>
      </c>
      <c r="E67" s="133">
        <v>4.88429998114492</v>
      </c>
      <c r="F67" s="9">
        <v>206.0</v>
      </c>
      <c r="G67" s="9">
        <v>1983.0</v>
      </c>
      <c r="H67" s="9">
        <v>2252.0</v>
      </c>
      <c r="I67" s="188">
        <v>7.31753033805999E-4</v>
      </c>
      <c r="M67" s="190"/>
      <c r="N67" s="189"/>
      <c r="O67" s="189"/>
    </row>
    <row r="68">
      <c r="A68" s="14" t="s">
        <v>147</v>
      </c>
      <c r="B68" s="14">
        <v>16384.0</v>
      </c>
      <c r="C68" s="112">
        <v>1500.0</v>
      </c>
      <c r="D68" s="133">
        <v>45.3439050090277</v>
      </c>
      <c r="E68" s="133">
        <v>3.72893955666346</v>
      </c>
      <c r="F68" s="9">
        <v>206.0</v>
      </c>
      <c r="G68" s="9">
        <v>1263.0</v>
      </c>
      <c r="H68" s="9">
        <v>25.0</v>
      </c>
      <c r="I68" s="188">
        <v>1.06397408928584E-5</v>
      </c>
      <c r="M68" s="190"/>
      <c r="N68" s="189"/>
      <c r="O68" s="189"/>
    </row>
    <row r="69">
      <c r="A69" s="14" t="s">
        <v>148</v>
      </c>
      <c r="B69" s="14">
        <v>16384.0</v>
      </c>
      <c r="C69" s="112">
        <v>64.0</v>
      </c>
      <c r="D69" s="133">
        <v>3.4178583536759</v>
      </c>
      <c r="E69" s="133">
        <v>5.08609874058914</v>
      </c>
      <c r="F69" s="9">
        <v>164.0</v>
      </c>
      <c r="G69" s="9">
        <v>1107.0</v>
      </c>
      <c r="H69" s="9">
        <v>2369.0</v>
      </c>
      <c r="I69" s="188">
        <v>7.39166701526691E-4</v>
      </c>
      <c r="M69" s="190"/>
      <c r="N69" s="189"/>
      <c r="O69" s="189"/>
    </row>
    <row r="70">
      <c r="A70" s="14" t="s">
        <v>148</v>
      </c>
      <c r="B70" s="14">
        <v>16384.0</v>
      </c>
      <c r="C70" s="112">
        <v>256.0</v>
      </c>
      <c r="D70" s="133">
        <v>10.1559140191394</v>
      </c>
      <c r="E70" s="133">
        <v>4.59959874055229</v>
      </c>
      <c r="F70" s="9">
        <v>123.0</v>
      </c>
      <c r="G70" s="9">
        <v>831.0</v>
      </c>
      <c r="H70" s="9">
        <v>2785.0</v>
      </c>
      <c r="I70" s="188">
        <v>9.60874716858943E-4</v>
      </c>
      <c r="M70" s="190"/>
      <c r="N70" s="189"/>
      <c r="O70" s="189"/>
    </row>
    <row r="71">
      <c r="A71" s="14" t="s">
        <v>148</v>
      </c>
      <c r="B71" s="14">
        <v>16384.0</v>
      </c>
      <c r="C71" s="112">
        <v>512.0</v>
      </c>
      <c r="D71" s="133">
        <v>19.4082896905458</v>
      </c>
      <c r="E71" s="133">
        <v>4.56021844232749</v>
      </c>
      <c r="F71" s="9">
        <v>143.0</v>
      </c>
      <c r="G71" s="9">
        <v>840.0</v>
      </c>
      <c r="H71" s="9">
        <v>2608.0</v>
      </c>
      <c r="I71" s="188">
        <v>9.07587767469429E-4</v>
      </c>
      <c r="M71" s="190"/>
      <c r="N71" s="189"/>
      <c r="O71" s="189"/>
    </row>
    <row r="72">
      <c r="A72" s="14" t="s">
        <v>148</v>
      </c>
      <c r="B72" s="14">
        <v>16384.0</v>
      </c>
      <c r="C72" s="112">
        <v>1024.0</v>
      </c>
      <c r="D72" s="133">
        <v>33.9771503802898</v>
      </c>
      <c r="E72" s="133">
        <v>4.06814539993891</v>
      </c>
      <c r="F72" s="9">
        <v>156.0</v>
      </c>
      <c r="G72" s="9">
        <v>1096.0</v>
      </c>
      <c r="H72" s="9">
        <v>1213.0</v>
      </c>
      <c r="I72" s="188">
        <v>4.73215547473795E-4</v>
      </c>
      <c r="M72" s="190"/>
      <c r="N72" s="189"/>
      <c r="O72" s="189"/>
    </row>
    <row r="73">
      <c r="A73" s="14" t="s">
        <v>148</v>
      </c>
      <c r="B73" s="14">
        <v>16384.0</v>
      </c>
      <c r="C73" s="112">
        <v>1500.0</v>
      </c>
      <c r="D73" s="133">
        <v>43.6385935178818</v>
      </c>
      <c r="E73" s="133">
        <v>3.58870012482581</v>
      </c>
      <c r="F73" s="9">
        <v>175.0</v>
      </c>
      <c r="G73" s="9">
        <v>1322.0</v>
      </c>
      <c r="H73" s="9">
        <v>1649.0</v>
      </c>
      <c r="I73" s="188">
        <v>7.29273352562209E-4</v>
      </c>
      <c r="M73" s="190"/>
      <c r="N73" s="189"/>
      <c r="O73" s="189"/>
    </row>
    <row r="74">
      <c r="A74" s="14" t="s">
        <v>149</v>
      </c>
      <c r="B74" s="14">
        <v>16384.0</v>
      </c>
      <c r="C74" s="112">
        <v>64.0</v>
      </c>
      <c r="D74" s="133">
        <v>3.94881814000415</v>
      </c>
      <c r="E74" s="133">
        <v>5.87621747024427</v>
      </c>
      <c r="F74" s="9">
        <v>241.0</v>
      </c>
      <c r="G74" s="9">
        <v>6174.0</v>
      </c>
      <c r="H74" s="9">
        <v>770.0</v>
      </c>
      <c r="I74" s="188">
        <v>2.07949052374142E-4</v>
      </c>
      <c r="M74" s="190"/>
      <c r="N74" s="189"/>
      <c r="O74" s="189"/>
    </row>
    <row r="75">
      <c r="A75" s="14" t="s">
        <v>149</v>
      </c>
      <c r="B75" s="14">
        <v>16384.0</v>
      </c>
      <c r="C75" s="112">
        <v>256.0</v>
      </c>
      <c r="D75" s="133">
        <v>13.1280198304919</v>
      </c>
      <c r="E75" s="133">
        <v>5.9456611551141</v>
      </c>
      <c r="F75" s="9">
        <v>230.0</v>
      </c>
      <c r="G75" s="9">
        <v>5185.0</v>
      </c>
      <c r="H75" s="9">
        <v>870.0</v>
      </c>
      <c r="I75" s="188">
        <v>2.32211423237398E-4</v>
      </c>
      <c r="M75" s="190"/>
      <c r="N75" s="189"/>
      <c r="O75" s="189"/>
    </row>
    <row r="76">
      <c r="A76" s="14" t="s">
        <v>149</v>
      </c>
      <c r="B76" s="14">
        <v>16384.0</v>
      </c>
      <c r="C76" s="112">
        <v>512.0</v>
      </c>
      <c r="D76" s="133">
        <v>23.8761166537825</v>
      </c>
      <c r="E76" s="133">
        <v>5.60998981526844</v>
      </c>
      <c r="F76" s="9">
        <v>181.0</v>
      </c>
      <c r="G76" s="9">
        <v>2938.0</v>
      </c>
      <c r="H76" s="9">
        <v>24.0</v>
      </c>
      <c r="I76" s="188">
        <v>6.78950989150541E-6</v>
      </c>
      <c r="M76" s="190"/>
      <c r="N76" s="189"/>
      <c r="O76" s="189"/>
    </row>
    <row r="77">
      <c r="A77" s="14" t="s">
        <v>149</v>
      </c>
      <c r="B77" s="14">
        <v>16384.0</v>
      </c>
      <c r="C77" s="112">
        <v>1024.0</v>
      </c>
      <c r="D77" s="133">
        <v>40.7695279256522</v>
      </c>
      <c r="E77" s="133">
        <v>4.88140899492962</v>
      </c>
      <c r="F77" s="9">
        <v>203.0</v>
      </c>
      <c r="G77" s="9">
        <v>3198.0</v>
      </c>
      <c r="H77" s="9">
        <v>64.0</v>
      </c>
      <c r="I77" s="188">
        <v>2.08081862473904E-5</v>
      </c>
      <c r="M77" s="190"/>
      <c r="N77" s="189"/>
      <c r="O77" s="189"/>
    </row>
    <row r="78">
      <c r="A78" s="14" t="s">
        <v>149</v>
      </c>
      <c r="B78" s="14">
        <v>16384.0</v>
      </c>
      <c r="C78" s="112">
        <v>1500.0</v>
      </c>
      <c r="D78" s="133">
        <v>45.3086637469226</v>
      </c>
      <c r="E78" s="133">
        <v>3.72604142655613</v>
      </c>
      <c r="F78" s="9">
        <v>169.0</v>
      </c>
      <c r="G78" s="9">
        <v>1442.0</v>
      </c>
      <c r="H78" s="9">
        <v>21.0</v>
      </c>
      <c r="I78" s="188">
        <v>8.94446950055372E-6</v>
      </c>
      <c r="M78" s="190"/>
      <c r="N78" s="189"/>
      <c r="O78" s="189"/>
    </row>
    <row r="79">
      <c r="C79" s="112"/>
      <c r="D79" s="9"/>
      <c r="E79" s="133"/>
      <c r="F79" s="134"/>
      <c r="G79" s="133"/>
      <c r="H79" s="134"/>
      <c r="I79" s="9"/>
      <c r="M79" s="190"/>
      <c r="N79" s="189"/>
      <c r="O79" s="189"/>
    </row>
    <row r="80">
      <c r="C80" s="112"/>
      <c r="D80" s="9"/>
      <c r="E80" s="133"/>
      <c r="F80" s="134"/>
      <c r="G80" s="133"/>
      <c r="H80" s="134"/>
      <c r="I80" s="9"/>
      <c r="M80" s="190"/>
      <c r="N80" s="189"/>
      <c r="O80" s="189"/>
    </row>
    <row r="81">
      <c r="C81" s="112"/>
      <c r="D81" s="9"/>
      <c r="E81" s="133"/>
      <c r="F81" s="134"/>
      <c r="G81" s="133"/>
      <c r="H81" s="134"/>
      <c r="I81" s="9"/>
      <c r="M81" s="190"/>
      <c r="N81" s="189"/>
      <c r="O81" s="189"/>
    </row>
    <row r="82">
      <c r="C82" s="112"/>
      <c r="D82" s="9"/>
      <c r="E82" s="133"/>
      <c r="F82" s="134"/>
      <c r="G82" s="133"/>
      <c r="H82" s="134"/>
      <c r="I82" s="9"/>
    </row>
    <row r="83">
      <c r="C83" s="112"/>
      <c r="D83" s="9"/>
      <c r="E83" s="133"/>
      <c r="F83" s="134"/>
      <c r="G83" s="133"/>
      <c r="H83" s="134"/>
      <c r="I83" s="9"/>
    </row>
    <row r="84">
      <c r="C84" s="112"/>
      <c r="D84" s="9"/>
      <c r="E84" s="133"/>
      <c r="F84" s="134"/>
      <c r="G84" s="133"/>
      <c r="H84" s="134"/>
      <c r="I84" s="9"/>
    </row>
    <row r="85">
      <c r="C85" s="112"/>
      <c r="D85" s="9"/>
      <c r="E85" s="133"/>
      <c r="F85" s="134"/>
      <c r="G85" s="133"/>
      <c r="H85" s="134"/>
      <c r="I85" s="9"/>
    </row>
    <row r="86">
      <c r="C86" s="112"/>
      <c r="D86" s="9"/>
      <c r="E86" s="133"/>
      <c r="F86" s="134"/>
      <c r="G86" s="133"/>
      <c r="H86" s="134"/>
      <c r="I86" s="9"/>
    </row>
    <row r="87">
      <c r="C87" s="112"/>
      <c r="D87" s="9"/>
      <c r="E87" s="133"/>
      <c r="F87" s="134"/>
      <c r="G87" s="133"/>
      <c r="H87" s="134"/>
      <c r="I87" s="9"/>
    </row>
    <row r="88">
      <c r="C88" s="112"/>
      <c r="D88" s="9"/>
      <c r="E88" s="133"/>
      <c r="F88" s="134"/>
      <c r="G88" s="133"/>
      <c r="H88" s="134"/>
      <c r="I88" s="9"/>
    </row>
    <row r="89">
      <c r="C89" s="112"/>
      <c r="D89" s="9"/>
      <c r="E89" s="133"/>
      <c r="F89" s="134"/>
      <c r="G89" s="133"/>
      <c r="H89" s="134"/>
      <c r="I89" s="9"/>
    </row>
    <row r="90">
      <c r="C90" s="112"/>
      <c r="D90" s="9"/>
      <c r="E90" s="133"/>
      <c r="F90" s="134"/>
      <c r="G90" s="133"/>
      <c r="H90" s="134"/>
      <c r="I90" s="9"/>
    </row>
    <row r="91">
      <c r="C91" s="112"/>
      <c r="D91" s="9"/>
      <c r="E91" s="133"/>
      <c r="F91" s="134"/>
      <c r="G91" s="133"/>
      <c r="H91" s="134"/>
      <c r="I91" s="9"/>
    </row>
    <row r="92">
      <c r="C92" s="112"/>
      <c r="D92" s="9"/>
      <c r="E92" s="133"/>
      <c r="F92" s="134"/>
      <c r="G92" s="133"/>
      <c r="H92" s="134"/>
      <c r="I92" s="9"/>
    </row>
    <row r="93">
      <c r="C93" s="112"/>
      <c r="D93" s="9"/>
      <c r="E93" s="133"/>
      <c r="F93" s="134"/>
      <c r="G93" s="133"/>
      <c r="H93" s="134"/>
      <c r="I93" s="9"/>
    </row>
    <row r="94">
      <c r="C94" s="112"/>
      <c r="D94" s="9"/>
      <c r="E94" s="133"/>
      <c r="F94" s="134"/>
      <c r="G94" s="133"/>
      <c r="H94" s="134"/>
      <c r="I94" s="9"/>
    </row>
    <row r="95">
      <c r="C95" s="112"/>
      <c r="D95" s="9"/>
      <c r="E95" s="133"/>
      <c r="F95" s="134"/>
      <c r="G95" s="133"/>
      <c r="H95" s="134"/>
      <c r="I95" s="9"/>
    </row>
    <row r="96">
      <c r="C96" s="112"/>
      <c r="D96" s="9"/>
      <c r="E96" s="133"/>
      <c r="F96" s="134"/>
      <c r="G96" s="133"/>
      <c r="H96" s="134"/>
      <c r="I96" s="9"/>
    </row>
    <row r="97">
      <c r="C97" s="112"/>
      <c r="D97" s="9"/>
      <c r="E97" s="133"/>
      <c r="F97" s="134"/>
      <c r="G97" s="133"/>
      <c r="H97" s="134"/>
      <c r="I97" s="9"/>
    </row>
    <row r="98">
      <c r="C98" s="112"/>
      <c r="D98" s="9"/>
      <c r="E98" s="133"/>
      <c r="F98" s="134"/>
      <c r="G98" s="133"/>
      <c r="H98" s="134"/>
      <c r="I98" s="9"/>
    </row>
    <row r="99">
      <c r="C99" s="112"/>
      <c r="D99" s="9"/>
      <c r="E99" s="133"/>
      <c r="F99" s="134"/>
      <c r="G99" s="133"/>
      <c r="H99" s="134"/>
      <c r="I99" s="9"/>
    </row>
    <row r="100">
      <c r="C100" s="112"/>
      <c r="D100" s="9"/>
      <c r="E100" s="133"/>
      <c r="F100" s="134"/>
      <c r="G100" s="133"/>
      <c r="H100" s="134"/>
      <c r="I100" s="9"/>
    </row>
    <row r="101">
      <c r="C101" s="112"/>
      <c r="D101" s="9"/>
      <c r="E101" s="133"/>
      <c r="F101" s="134"/>
      <c r="G101" s="133"/>
      <c r="H101" s="134"/>
      <c r="I101" s="9"/>
    </row>
    <row r="102">
      <c r="C102" s="112"/>
      <c r="D102" s="9"/>
      <c r="E102" s="133"/>
      <c r="F102" s="134"/>
      <c r="G102" s="133"/>
      <c r="H102" s="134"/>
      <c r="I102" s="9"/>
    </row>
  </sheetData>
  <mergeCells count="25">
    <mergeCell ref="A5:C5"/>
    <mergeCell ref="E5:G5"/>
    <mergeCell ref="A6:B6"/>
    <mergeCell ref="E6:G8"/>
    <mergeCell ref="A7:B7"/>
    <mergeCell ref="A8:B8"/>
    <mergeCell ref="A9:B9"/>
    <mergeCell ref="C17:C20"/>
    <mergeCell ref="C21:C24"/>
    <mergeCell ref="C25:C28"/>
    <mergeCell ref="C29:C32"/>
    <mergeCell ref="B37:B56"/>
    <mergeCell ref="C37:C40"/>
    <mergeCell ref="C41:C44"/>
    <mergeCell ref="C45:C48"/>
    <mergeCell ref="C49:C52"/>
    <mergeCell ref="C53:C56"/>
    <mergeCell ref="A10:B10"/>
    <mergeCell ref="A11:B11"/>
    <mergeCell ref="A12:B12"/>
    <mergeCell ref="B15:B16"/>
    <mergeCell ref="C15:C16"/>
    <mergeCell ref="E15:I15"/>
    <mergeCell ref="B17:B36"/>
    <mergeCell ref="C33:C36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3" max="3" width="21.86"/>
    <col customWidth="1" min="6" max="6" width="22.71"/>
  </cols>
  <sheetData>
    <row r="2">
      <c r="A2" s="1" t="s">
        <v>0</v>
      </c>
      <c r="B2" s="2">
        <v>2003.0</v>
      </c>
    </row>
    <row r="5">
      <c r="A5" s="6" t="s">
        <v>1</v>
      </c>
      <c r="B5" s="7"/>
      <c r="C5" s="8"/>
    </row>
    <row r="6">
      <c r="A6" s="10" t="s">
        <v>98</v>
      </c>
      <c r="B6" s="8"/>
      <c r="C6" s="11" t="s">
        <v>6</v>
      </c>
    </row>
    <row r="7">
      <c r="A7" s="10" t="s">
        <v>79</v>
      </c>
      <c r="B7" s="8"/>
      <c r="C7" s="11" t="s">
        <v>74</v>
      </c>
    </row>
    <row r="8">
      <c r="A8" s="10" t="s">
        <v>7</v>
      </c>
      <c r="B8" s="8"/>
      <c r="C8" s="11" t="s">
        <v>21</v>
      </c>
    </row>
    <row r="12">
      <c r="C12" s="135" t="s">
        <v>12</v>
      </c>
      <c r="D12" s="135" t="s">
        <v>14</v>
      </c>
      <c r="E12" s="135" t="s">
        <v>99</v>
      </c>
      <c r="F12" s="135" t="s">
        <v>100</v>
      </c>
      <c r="G12" s="135" t="s">
        <v>101</v>
      </c>
    </row>
    <row r="13">
      <c r="C13" s="34" t="s">
        <v>16</v>
      </c>
      <c r="D13" s="136" t="s">
        <v>18</v>
      </c>
      <c r="E13" s="137">
        <v>64.0</v>
      </c>
      <c r="F13" s="138"/>
      <c r="G13" s="138"/>
    </row>
    <row r="14">
      <c r="C14" s="29"/>
      <c r="D14" s="29"/>
      <c r="E14" s="137">
        <v>256.0</v>
      </c>
      <c r="F14" s="138"/>
      <c r="G14" s="138"/>
    </row>
    <row r="15">
      <c r="C15" s="29"/>
      <c r="D15" s="29"/>
      <c r="E15" s="137">
        <v>512.0</v>
      </c>
      <c r="F15" s="138"/>
      <c r="G15" s="138"/>
    </row>
    <row r="16">
      <c r="C16" s="29"/>
      <c r="D16" s="29"/>
      <c r="E16" s="137">
        <v>1024.0</v>
      </c>
      <c r="F16" s="138"/>
      <c r="G16" s="138"/>
    </row>
    <row r="17">
      <c r="C17" s="29"/>
      <c r="D17" s="32"/>
      <c r="E17" s="137">
        <v>1500.0</v>
      </c>
      <c r="F17" s="138"/>
      <c r="G17" s="138"/>
    </row>
    <row r="18">
      <c r="C18" s="29"/>
      <c r="D18" s="34" t="s">
        <v>19</v>
      </c>
      <c r="E18" s="30">
        <v>64.0</v>
      </c>
      <c r="F18" s="139"/>
      <c r="G18" s="139"/>
    </row>
    <row r="19">
      <c r="C19" s="29"/>
      <c r="D19" s="29"/>
      <c r="E19" s="30">
        <v>256.0</v>
      </c>
      <c r="F19" s="139"/>
      <c r="G19" s="139"/>
    </row>
    <row r="20">
      <c r="C20" s="29"/>
      <c r="D20" s="29"/>
      <c r="E20" s="30">
        <v>512.0</v>
      </c>
      <c r="F20" s="139"/>
      <c r="G20" s="139"/>
    </row>
    <row r="21">
      <c r="C21" s="29"/>
      <c r="D21" s="29"/>
      <c r="E21" s="30">
        <v>1024.0</v>
      </c>
      <c r="F21" s="139"/>
      <c r="G21" s="139"/>
    </row>
    <row r="22">
      <c r="C22" s="29"/>
      <c r="D22" s="32"/>
      <c r="E22" s="30">
        <v>1500.0</v>
      </c>
      <c r="F22" s="139"/>
      <c r="G22" s="139"/>
    </row>
    <row r="23">
      <c r="C23" s="29"/>
      <c r="D23" s="34" t="s">
        <v>22</v>
      </c>
      <c r="E23" s="30">
        <v>64.0</v>
      </c>
      <c r="F23" s="139"/>
      <c r="G23" s="139"/>
    </row>
    <row r="24">
      <c r="C24" s="29"/>
      <c r="D24" s="29"/>
      <c r="E24" s="30">
        <v>256.0</v>
      </c>
      <c r="F24" s="139"/>
      <c r="G24" s="139"/>
    </row>
    <row r="25">
      <c r="C25" s="29"/>
      <c r="D25" s="29"/>
      <c r="E25" s="30">
        <v>512.0</v>
      </c>
      <c r="F25" s="139"/>
      <c r="G25" s="139"/>
    </row>
    <row r="26">
      <c r="C26" s="29"/>
      <c r="D26" s="29"/>
      <c r="E26" s="30">
        <v>1024.0</v>
      </c>
      <c r="F26" s="139"/>
      <c r="G26" s="139"/>
    </row>
    <row r="27">
      <c r="C27" s="32"/>
      <c r="D27" s="32"/>
      <c r="E27" s="30">
        <v>1500.0</v>
      </c>
      <c r="F27" s="139"/>
      <c r="G27" s="139"/>
    </row>
    <row r="30">
      <c r="C30" s="135" t="s">
        <v>12</v>
      </c>
      <c r="D30" s="135" t="s">
        <v>14</v>
      </c>
      <c r="E30" s="135" t="s">
        <v>99</v>
      </c>
      <c r="F30" s="135" t="s">
        <v>100</v>
      </c>
      <c r="G30" s="135" t="s">
        <v>101</v>
      </c>
    </row>
    <row r="31">
      <c r="C31" s="34" t="s">
        <v>29</v>
      </c>
      <c r="D31" s="136" t="s">
        <v>18</v>
      </c>
      <c r="E31" s="137">
        <v>64.0</v>
      </c>
      <c r="F31" s="138"/>
      <c r="G31" s="138"/>
    </row>
    <row r="32">
      <c r="C32" s="29"/>
      <c r="D32" s="29"/>
      <c r="E32" s="137">
        <v>256.0</v>
      </c>
      <c r="F32" s="138"/>
      <c r="G32" s="138"/>
    </row>
    <row r="33">
      <c r="C33" s="29"/>
      <c r="D33" s="29"/>
      <c r="E33" s="137">
        <v>512.0</v>
      </c>
      <c r="F33" s="138"/>
      <c r="G33" s="138"/>
    </row>
    <row r="34">
      <c r="C34" s="29"/>
      <c r="D34" s="29"/>
      <c r="E34" s="137">
        <v>1024.0</v>
      </c>
      <c r="F34" s="138"/>
      <c r="G34" s="138"/>
    </row>
    <row r="35">
      <c r="C35" s="29"/>
      <c r="D35" s="32"/>
      <c r="E35" s="137">
        <v>1500.0</v>
      </c>
      <c r="F35" s="138"/>
      <c r="G35" s="138"/>
    </row>
    <row r="36">
      <c r="C36" s="29"/>
      <c r="D36" s="34" t="s">
        <v>19</v>
      </c>
      <c r="E36" s="30">
        <v>64.0</v>
      </c>
      <c r="F36" s="139"/>
      <c r="G36" s="139"/>
    </row>
    <row r="37">
      <c r="C37" s="29"/>
      <c r="D37" s="29"/>
      <c r="E37" s="30">
        <v>256.0</v>
      </c>
      <c r="F37" s="139"/>
      <c r="G37" s="139"/>
    </row>
    <row r="38">
      <c r="C38" s="29"/>
      <c r="D38" s="29"/>
      <c r="E38" s="30">
        <v>512.0</v>
      </c>
      <c r="F38" s="139"/>
      <c r="G38" s="139"/>
    </row>
    <row r="39">
      <c r="C39" s="29"/>
      <c r="D39" s="29"/>
      <c r="E39" s="30">
        <v>1024.0</v>
      </c>
      <c r="F39" s="139"/>
      <c r="G39" s="139"/>
    </row>
    <row r="40">
      <c r="C40" s="29"/>
      <c r="D40" s="32"/>
      <c r="E40" s="30">
        <v>1500.0</v>
      </c>
      <c r="F40" s="139"/>
      <c r="G40" s="139"/>
    </row>
    <row r="41">
      <c r="C41" s="29"/>
      <c r="D41" s="34" t="s">
        <v>22</v>
      </c>
      <c r="E41" s="30">
        <v>64.0</v>
      </c>
      <c r="F41" s="139"/>
      <c r="G41" s="139"/>
    </row>
    <row r="42">
      <c r="C42" s="29"/>
      <c r="D42" s="29"/>
      <c r="E42" s="30">
        <v>256.0</v>
      </c>
      <c r="F42" s="139"/>
      <c r="G42" s="139"/>
    </row>
    <row r="43">
      <c r="C43" s="29"/>
      <c r="D43" s="29"/>
      <c r="E43" s="30">
        <v>512.0</v>
      </c>
      <c r="F43" s="139"/>
      <c r="G43" s="139"/>
    </row>
    <row r="44">
      <c r="C44" s="29"/>
      <c r="D44" s="29"/>
      <c r="E44" s="30">
        <v>1024.0</v>
      </c>
      <c r="F44" s="139"/>
      <c r="G44" s="139"/>
    </row>
    <row r="45">
      <c r="C45" s="32"/>
      <c r="D45" s="32"/>
      <c r="E45" s="30">
        <v>1500.0</v>
      </c>
      <c r="F45" s="139"/>
      <c r="G45" s="139"/>
    </row>
  </sheetData>
  <mergeCells count="12">
    <mergeCell ref="C13:C27"/>
    <mergeCell ref="C31:C45"/>
    <mergeCell ref="D31:D35"/>
    <mergeCell ref="D36:D40"/>
    <mergeCell ref="D41:D45"/>
    <mergeCell ref="A5:C5"/>
    <mergeCell ref="A6:B6"/>
    <mergeCell ref="A7:B7"/>
    <mergeCell ref="A8:B8"/>
    <mergeCell ref="D13:D17"/>
    <mergeCell ref="D18:D22"/>
    <mergeCell ref="D23:D27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7.14"/>
  </cols>
  <sheetData>
    <row r="19">
      <c r="A19" s="14" t="s">
        <v>104</v>
      </c>
    </row>
    <row r="22">
      <c r="A22" s="14" t="s">
        <v>105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3.29"/>
  </cols>
  <sheetData>
    <row r="2">
      <c r="A2" s="1" t="s">
        <v>0</v>
      </c>
      <c r="B2" s="2">
        <v>2003.0</v>
      </c>
    </row>
    <row r="5">
      <c r="A5" s="6" t="s">
        <v>1</v>
      </c>
      <c r="B5" s="7"/>
      <c r="C5" s="8"/>
      <c r="E5" s="6" t="s">
        <v>68</v>
      </c>
      <c r="F5" s="7"/>
      <c r="G5" s="8"/>
    </row>
    <row r="6">
      <c r="A6" s="10" t="s">
        <v>5</v>
      </c>
      <c r="B6" s="8"/>
      <c r="C6" s="11" t="s">
        <v>25</v>
      </c>
      <c r="E6" s="99"/>
      <c r="F6" s="100"/>
      <c r="G6" s="101"/>
    </row>
    <row r="7">
      <c r="A7" s="10" t="s">
        <v>14</v>
      </c>
      <c r="B7" s="8"/>
      <c r="C7" s="11" t="s">
        <v>18</v>
      </c>
      <c r="E7" s="102"/>
      <c r="G7" s="103"/>
    </row>
    <row r="8">
      <c r="A8" s="10" t="s">
        <v>70</v>
      </c>
      <c r="B8" s="8"/>
      <c r="C8" s="11" t="s">
        <v>71</v>
      </c>
      <c r="E8" s="104"/>
      <c r="F8" s="105"/>
      <c r="G8" s="106"/>
    </row>
    <row r="9">
      <c r="A9" s="10" t="s">
        <v>79</v>
      </c>
      <c r="B9" s="8"/>
      <c r="C9" s="11" t="s">
        <v>74</v>
      </c>
    </row>
    <row r="10">
      <c r="A10" s="10" t="s">
        <v>9</v>
      </c>
      <c r="B10" s="8"/>
      <c r="C10" s="11" t="s">
        <v>10</v>
      </c>
    </row>
    <row r="13">
      <c r="C13" s="135" t="s">
        <v>12</v>
      </c>
      <c r="D13" s="135" t="s">
        <v>9</v>
      </c>
      <c r="E13" s="147" t="s">
        <v>100</v>
      </c>
      <c r="F13" s="147" t="s">
        <v>23</v>
      </c>
      <c r="G13" s="135" t="s">
        <v>101</v>
      </c>
      <c r="H13" s="135" t="s">
        <v>27</v>
      </c>
      <c r="I13" s="135" t="s">
        <v>28</v>
      </c>
    </row>
    <row r="14">
      <c r="C14" s="34" t="s">
        <v>16</v>
      </c>
      <c r="D14" s="137" t="s">
        <v>107</v>
      </c>
      <c r="E14" s="138"/>
      <c r="F14" s="138"/>
      <c r="G14" s="138"/>
      <c r="H14" s="138"/>
      <c r="I14" s="138"/>
    </row>
    <row r="15">
      <c r="C15" s="32"/>
      <c r="D15" s="137" t="s">
        <v>108</v>
      </c>
      <c r="E15" s="138"/>
      <c r="F15" s="138"/>
      <c r="G15" s="138"/>
      <c r="H15" s="138"/>
      <c r="I15" s="138"/>
    </row>
    <row r="16">
      <c r="C16" s="34" t="s">
        <v>29</v>
      </c>
      <c r="D16" s="137" t="s">
        <v>107</v>
      </c>
      <c r="E16" s="138"/>
      <c r="F16" s="138"/>
      <c r="G16" s="138"/>
      <c r="H16" s="138"/>
      <c r="I16" s="138"/>
    </row>
    <row r="17">
      <c r="C17" s="32"/>
      <c r="D17" s="137" t="s">
        <v>108</v>
      </c>
      <c r="E17" s="138"/>
      <c r="F17" s="138"/>
      <c r="G17" s="138"/>
      <c r="H17" s="138"/>
      <c r="I17" s="138"/>
    </row>
  </sheetData>
  <mergeCells count="10">
    <mergeCell ref="A10:B10"/>
    <mergeCell ref="C14:C15"/>
    <mergeCell ref="C16:C17"/>
    <mergeCell ref="A5:C5"/>
    <mergeCell ref="E5:G5"/>
    <mergeCell ref="A6:B6"/>
    <mergeCell ref="E6:G8"/>
    <mergeCell ref="A7:B7"/>
    <mergeCell ref="A8:B8"/>
    <mergeCell ref="A9:B9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57"/>
  </cols>
  <sheetData>
    <row r="1">
      <c r="A1" s="14" t="s">
        <v>111</v>
      </c>
    </row>
    <row r="2">
      <c r="A2" s="14" t="s">
        <v>112</v>
      </c>
    </row>
    <row r="3">
      <c r="A3" s="14" t="s">
        <v>113</v>
      </c>
    </row>
    <row r="4">
      <c r="A4" s="14" t="s">
        <v>114</v>
      </c>
    </row>
    <row r="5">
      <c r="A5" s="14" t="s">
        <v>115</v>
      </c>
    </row>
    <row r="6">
      <c r="A6" s="14" t="s">
        <v>116</v>
      </c>
    </row>
    <row r="7">
      <c r="A7" s="14" t="s">
        <v>117</v>
      </c>
    </row>
    <row r="10">
      <c r="A10" s="14" t="s">
        <v>118</v>
      </c>
    </row>
    <row r="12">
      <c r="A12" s="14" t="s">
        <v>119</v>
      </c>
    </row>
    <row r="13">
      <c r="A13" s="14" t="s">
        <v>120</v>
      </c>
    </row>
    <row r="17">
      <c r="B17" s="14" t="s">
        <v>121</v>
      </c>
    </row>
    <row r="18">
      <c r="A18" s="14" t="s">
        <v>122</v>
      </c>
      <c r="B18" s="14">
        <v>8.0</v>
      </c>
    </row>
    <row r="19">
      <c r="A19" s="14" t="s">
        <v>123</v>
      </c>
      <c r="B19" s="14">
        <v>4.0</v>
      </c>
    </row>
    <row r="21">
      <c r="B21" s="14" t="s">
        <v>124</v>
      </c>
    </row>
    <row r="22">
      <c r="A22" s="14" t="s">
        <v>122</v>
      </c>
      <c r="B22" s="14">
        <v>1.5</v>
      </c>
    </row>
    <row r="23">
      <c r="A23" s="14" t="s">
        <v>123</v>
      </c>
      <c r="B23" s="14">
        <v>2.75</v>
      </c>
    </row>
    <row r="32">
      <c r="B32" s="14" t="s">
        <v>125</v>
      </c>
    </row>
    <row r="33">
      <c r="A33" s="14" t="s">
        <v>126</v>
      </c>
      <c r="B33" s="14">
        <v>100.0</v>
      </c>
    </row>
    <row r="34">
      <c r="A34" s="14" t="s">
        <v>127</v>
      </c>
      <c r="B34" s="14">
        <v>125.0</v>
      </c>
    </row>
    <row r="46">
      <c r="B46" s="14" t="s">
        <v>125</v>
      </c>
    </row>
    <row r="47">
      <c r="A47" s="14" t="s">
        <v>127</v>
      </c>
      <c r="B47" s="14">
        <v>100.0</v>
      </c>
    </row>
    <row r="48">
      <c r="A48" s="14" t="s">
        <v>128</v>
      </c>
      <c r="B48" s="14">
        <v>115.0</v>
      </c>
    </row>
    <row r="59">
      <c r="B59" s="14" t="s">
        <v>125</v>
      </c>
    </row>
    <row r="60">
      <c r="A60" s="14" t="s">
        <v>122</v>
      </c>
      <c r="B60" s="14">
        <v>100.0</v>
      </c>
    </row>
    <row r="61">
      <c r="A61" s="14" t="s">
        <v>123</v>
      </c>
      <c r="B61" s="14">
        <v>185.0</v>
      </c>
    </row>
    <row r="62">
      <c r="A62" s="14" t="s">
        <v>129</v>
      </c>
      <c r="B62" s="14">
        <v>210.0</v>
      </c>
    </row>
    <row r="63">
      <c r="A63" s="14" t="s">
        <v>128</v>
      </c>
      <c r="B63" s="14">
        <v>225.0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3" max="3" width="22.57"/>
    <col customWidth="1" min="5" max="5" width="8.71"/>
    <col customWidth="1" min="6" max="6" width="12.14"/>
    <col customWidth="1" min="7" max="7" width="11.86"/>
    <col customWidth="1" min="8" max="8" width="10.0"/>
    <col customWidth="1" min="9" max="9" width="10.57"/>
    <col customWidth="1" min="10" max="10" width="8.29"/>
    <col customWidth="1" min="11" max="11" width="8.71"/>
  </cols>
  <sheetData>
    <row r="1">
      <c r="A1" s="1" t="s">
        <v>0</v>
      </c>
      <c r="B1" s="2">
        <v>2003.0</v>
      </c>
    </row>
    <row r="2">
      <c r="A2" s="6" t="s">
        <v>1</v>
      </c>
      <c r="B2" s="7"/>
      <c r="C2" s="8"/>
    </row>
    <row r="3">
      <c r="A3" s="10" t="s">
        <v>2</v>
      </c>
      <c r="B3" s="8"/>
      <c r="C3" s="11" t="s">
        <v>56</v>
      </c>
      <c r="D3" s="14">
        <v>4.0</v>
      </c>
    </row>
    <row r="4">
      <c r="A4" s="10" t="s">
        <v>4</v>
      </c>
      <c r="B4" s="8"/>
      <c r="C4" s="12">
        <v>1.0E-5</v>
      </c>
    </row>
    <row r="5">
      <c r="A5" s="10" t="s">
        <v>5</v>
      </c>
      <c r="B5" s="8"/>
      <c r="C5" s="11" t="s">
        <v>6</v>
      </c>
    </row>
    <row r="6">
      <c r="A6" s="10" t="s">
        <v>7</v>
      </c>
      <c r="B6" s="8"/>
      <c r="C6" s="149" t="s">
        <v>109</v>
      </c>
    </row>
    <row r="7">
      <c r="A7" s="10" t="s">
        <v>9</v>
      </c>
      <c r="B7" s="8"/>
      <c r="C7" s="11" t="s">
        <v>10</v>
      </c>
    </row>
    <row r="10">
      <c r="A10" s="15"/>
      <c r="B10" s="15"/>
      <c r="C10" s="150" t="s">
        <v>12</v>
      </c>
      <c r="D10" s="151" t="s">
        <v>14</v>
      </c>
      <c r="E10" s="151" t="s">
        <v>99</v>
      </c>
      <c r="F10" s="151" t="s">
        <v>100</v>
      </c>
      <c r="G10" s="151" t="s">
        <v>23</v>
      </c>
      <c r="H10" s="151" t="s">
        <v>101</v>
      </c>
      <c r="I10" s="151" t="s">
        <v>27</v>
      </c>
      <c r="J10" s="151" t="s">
        <v>28</v>
      </c>
      <c r="K10" s="152" t="s">
        <v>110</v>
      </c>
    </row>
    <row r="11">
      <c r="C11" s="153" t="s">
        <v>16</v>
      </c>
      <c r="D11" s="154" t="s">
        <v>18</v>
      </c>
      <c r="E11" s="155">
        <v>64.0</v>
      </c>
      <c r="F11" s="156"/>
      <c r="G11" s="157">
        <f t="shared" ref="G11:G25" si="1">F11/$D$3</f>
        <v>0</v>
      </c>
      <c r="H11" s="155"/>
      <c r="I11" s="157">
        <f t="shared" ref="I11:I25" si="2">H11/$D$3*2</f>
        <v>0</v>
      </c>
      <c r="J11" s="155"/>
      <c r="K11" s="158"/>
    </row>
    <row r="12">
      <c r="C12" s="159"/>
      <c r="D12" s="28"/>
      <c r="E12" s="137">
        <v>256.0</v>
      </c>
      <c r="F12" s="160"/>
      <c r="G12" s="138">
        <f t="shared" si="1"/>
        <v>0</v>
      </c>
      <c r="H12" s="137"/>
      <c r="I12" s="138">
        <f t="shared" si="2"/>
        <v>0</v>
      </c>
      <c r="J12" s="137"/>
      <c r="K12" s="161"/>
    </row>
    <row r="13">
      <c r="C13" s="159"/>
      <c r="D13" s="28"/>
      <c r="E13" s="137">
        <v>512.0</v>
      </c>
      <c r="F13" s="160"/>
      <c r="G13" s="138">
        <f t="shared" si="1"/>
        <v>0</v>
      </c>
      <c r="H13" s="137"/>
      <c r="I13" s="138">
        <f t="shared" si="2"/>
        <v>0</v>
      </c>
      <c r="J13" s="137"/>
      <c r="K13" s="161"/>
    </row>
    <row r="14">
      <c r="C14" s="159"/>
      <c r="D14" s="28"/>
      <c r="E14" s="137">
        <v>1024.0</v>
      </c>
      <c r="F14" s="160"/>
      <c r="G14" s="138">
        <f t="shared" si="1"/>
        <v>0</v>
      </c>
      <c r="H14" s="137"/>
      <c r="I14" s="138">
        <f t="shared" si="2"/>
        <v>0</v>
      </c>
      <c r="J14" s="137"/>
      <c r="K14" s="161"/>
    </row>
    <row r="15">
      <c r="C15" s="159"/>
      <c r="D15" s="42"/>
      <c r="E15" s="162">
        <v>1500.0</v>
      </c>
      <c r="F15" s="163"/>
      <c r="G15" s="164">
        <f t="shared" si="1"/>
        <v>0</v>
      </c>
      <c r="H15" s="162"/>
      <c r="I15" s="164">
        <f t="shared" si="2"/>
        <v>0</v>
      </c>
      <c r="J15" s="162"/>
      <c r="K15" s="165"/>
    </row>
    <row r="16">
      <c r="C16" s="159"/>
      <c r="D16" s="166" t="s">
        <v>19</v>
      </c>
      <c r="E16" s="167">
        <v>64.0</v>
      </c>
      <c r="F16" s="168"/>
      <c r="G16" s="157">
        <f t="shared" si="1"/>
        <v>0</v>
      </c>
      <c r="H16" s="168"/>
      <c r="I16" s="157">
        <f t="shared" si="2"/>
        <v>0</v>
      </c>
      <c r="J16" s="168"/>
      <c r="K16" s="169"/>
    </row>
    <row r="17">
      <c r="C17" s="159"/>
      <c r="D17" s="28"/>
      <c r="E17" s="30">
        <v>256.0</v>
      </c>
      <c r="F17" s="139"/>
      <c r="G17" s="138">
        <f t="shared" si="1"/>
        <v>0</v>
      </c>
      <c r="H17" s="139"/>
      <c r="I17" s="138">
        <f t="shared" si="2"/>
        <v>0</v>
      </c>
      <c r="J17" s="139"/>
      <c r="K17" s="170"/>
    </row>
    <row r="18">
      <c r="C18" s="159"/>
      <c r="D18" s="28"/>
      <c r="E18" s="30">
        <v>512.0</v>
      </c>
      <c r="F18" s="139"/>
      <c r="G18" s="138">
        <f t="shared" si="1"/>
        <v>0</v>
      </c>
      <c r="H18" s="139"/>
      <c r="I18" s="138">
        <f t="shared" si="2"/>
        <v>0</v>
      </c>
      <c r="J18" s="139"/>
      <c r="K18" s="170"/>
    </row>
    <row r="19">
      <c r="C19" s="159"/>
      <c r="D19" s="28"/>
      <c r="E19" s="30">
        <v>1024.0</v>
      </c>
      <c r="F19" s="139"/>
      <c r="G19" s="138">
        <f t="shared" si="1"/>
        <v>0</v>
      </c>
      <c r="H19" s="139"/>
      <c r="I19" s="138">
        <f t="shared" si="2"/>
        <v>0</v>
      </c>
      <c r="J19" s="139"/>
      <c r="K19" s="170"/>
    </row>
    <row r="20">
      <c r="C20" s="159"/>
      <c r="D20" s="42"/>
      <c r="E20" s="44">
        <v>1500.0</v>
      </c>
      <c r="F20" s="171"/>
      <c r="G20" s="164">
        <f t="shared" si="1"/>
        <v>0</v>
      </c>
      <c r="H20" s="171"/>
      <c r="I20" s="164">
        <f t="shared" si="2"/>
        <v>0</v>
      </c>
      <c r="J20" s="171"/>
      <c r="K20" s="172"/>
    </row>
    <row r="21">
      <c r="C21" s="159"/>
      <c r="D21" s="166" t="s">
        <v>22</v>
      </c>
      <c r="E21" s="167">
        <v>64.0</v>
      </c>
      <c r="F21" s="168"/>
      <c r="G21" s="157">
        <f t="shared" si="1"/>
        <v>0</v>
      </c>
      <c r="H21" s="168"/>
      <c r="I21" s="157">
        <f t="shared" si="2"/>
        <v>0</v>
      </c>
      <c r="J21" s="168"/>
      <c r="K21" s="169"/>
    </row>
    <row r="22">
      <c r="C22" s="159"/>
      <c r="D22" s="28"/>
      <c r="E22" s="30">
        <v>256.0</v>
      </c>
      <c r="F22" s="139"/>
      <c r="G22" s="138">
        <f t="shared" si="1"/>
        <v>0</v>
      </c>
      <c r="H22" s="139"/>
      <c r="I22" s="138">
        <f t="shared" si="2"/>
        <v>0</v>
      </c>
      <c r="J22" s="139"/>
      <c r="K22" s="170"/>
    </row>
    <row r="23">
      <c r="C23" s="159"/>
      <c r="D23" s="28"/>
      <c r="E23" s="30">
        <v>512.0</v>
      </c>
      <c r="F23" s="139"/>
      <c r="G23" s="138">
        <f t="shared" si="1"/>
        <v>0</v>
      </c>
      <c r="H23" s="139"/>
      <c r="I23" s="138">
        <f t="shared" si="2"/>
        <v>0</v>
      </c>
      <c r="J23" s="139"/>
      <c r="K23" s="170"/>
    </row>
    <row r="24">
      <c r="C24" s="159"/>
      <c r="D24" s="28"/>
      <c r="E24" s="30">
        <v>1024.0</v>
      </c>
      <c r="F24" s="139"/>
      <c r="G24" s="138">
        <f t="shared" si="1"/>
        <v>0</v>
      </c>
      <c r="H24" s="139"/>
      <c r="I24" s="138">
        <f t="shared" si="2"/>
        <v>0</v>
      </c>
      <c r="J24" s="139"/>
      <c r="K24" s="170"/>
    </row>
    <row r="25">
      <c r="C25" s="173"/>
      <c r="D25" s="42"/>
      <c r="E25" s="44">
        <v>1500.0</v>
      </c>
      <c r="F25" s="171"/>
      <c r="G25" s="164">
        <f t="shared" si="1"/>
        <v>0</v>
      </c>
      <c r="H25" s="171"/>
      <c r="I25" s="164">
        <f t="shared" si="2"/>
        <v>0</v>
      </c>
      <c r="J25" s="171"/>
      <c r="K25" s="172"/>
    </row>
    <row r="28">
      <c r="C28" s="150" t="s">
        <v>12</v>
      </c>
      <c r="D28" s="151" t="s">
        <v>14</v>
      </c>
      <c r="E28" s="151" t="s">
        <v>99</v>
      </c>
      <c r="F28" s="151" t="s">
        <v>100</v>
      </c>
      <c r="G28" s="151" t="s">
        <v>23</v>
      </c>
      <c r="H28" s="151" t="s">
        <v>101</v>
      </c>
      <c r="I28" s="151" t="s">
        <v>27</v>
      </c>
      <c r="J28" s="151" t="s">
        <v>28</v>
      </c>
      <c r="K28" s="152" t="s">
        <v>110</v>
      </c>
    </row>
    <row r="29">
      <c r="C29" s="153" t="s">
        <v>29</v>
      </c>
      <c r="D29" s="154" t="s">
        <v>18</v>
      </c>
      <c r="E29" s="155">
        <v>64.0</v>
      </c>
      <c r="F29" s="155">
        <v>2.1</v>
      </c>
      <c r="G29" s="157">
        <f t="shared" ref="G29:G43" si="3">F29/$D$3</f>
        <v>0.525</v>
      </c>
      <c r="H29" s="155">
        <v>3.124</v>
      </c>
      <c r="I29" s="157">
        <f t="shared" ref="I29:I43" si="4">H29/$D$3*2</f>
        <v>1.562</v>
      </c>
      <c r="J29" s="155">
        <v>445.0</v>
      </c>
      <c r="K29" s="158">
        <v>4753.0</v>
      </c>
    </row>
    <row r="30">
      <c r="C30" s="159"/>
      <c r="D30" s="28"/>
      <c r="E30" s="137">
        <v>256.0</v>
      </c>
      <c r="F30" s="137">
        <v>6.6</v>
      </c>
      <c r="G30" s="138">
        <f t="shared" si="3"/>
        <v>1.65</v>
      </c>
      <c r="H30" s="137">
        <v>2.968</v>
      </c>
      <c r="I30" s="138">
        <f t="shared" si="4"/>
        <v>1.484</v>
      </c>
      <c r="J30" s="137">
        <v>361.0</v>
      </c>
      <c r="K30" s="161">
        <v>3373.0</v>
      </c>
    </row>
    <row r="31">
      <c r="C31" s="159"/>
      <c r="D31" s="28"/>
      <c r="E31" s="137">
        <v>512.0</v>
      </c>
      <c r="F31" s="137">
        <v>9.2</v>
      </c>
      <c r="G31" s="138">
        <f t="shared" si="3"/>
        <v>2.3</v>
      </c>
      <c r="H31" s="137">
        <v>2.166</v>
      </c>
      <c r="I31" s="138">
        <f t="shared" si="4"/>
        <v>1.083</v>
      </c>
      <c r="J31" s="137">
        <v>131.0</v>
      </c>
      <c r="K31" s="161">
        <v>431.0</v>
      </c>
    </row>
    <row r="32">
      <c r="C32" s="159"/>
      <c r="D32" s="28"/>
      <c r="E32" s="137">
        <v>1024.0</v>
      </c>
      <c r="F32" s="137">
        <v>9.6</v>
      </c>
      <c r="G32" s="138">
        <f t="shared" si="3"/>
        <v>2.4</v>
      </c>
      <c r="H32" s="137">
        <v>1.148</v>
      </c>
      <c r="I32" s="138">
        <f t="shared" si="4"/>
        <v>0.574</v>
      </c>
      <c r="J32" s="137">
        <v>97.0</v>
      </c>
      <c r="K32" s="161">
        <v>365.0</v>
      </c>
    </row>
    <row r="33">
      <c r="C33" s="159"/>
      <c r="D33" s="42"/>
      <c r="E33" s="162">
        <v>1500.0</v>
      </c>
      <c r="F33" s="162">
        <v>9.7</v>
      </c>
      <c r="G33" s="164">
        <f t="shared" si="3"/>
        <v>2.425</v>
      </c>
      <c r="H33" s="162">
        <v>0.799</v>
      </c>
      <c r="I33" s="164">
        <f t="shared" si="4"/>
        <v>0.3995</v>
      </c>
      <c r="J33" s="162">
        <v>101.0</v>
      </c>
      <c r="K33" s="165">
        <v>350.0</v>
      </c>
    </row>
    <row r="34">
      <c r="C34" s="159"/>
      <c r="D34" s="166" t="s">
        <v>19</v>
      </c>
      <c r="E34" s="167">
        <v>64.0</v>
      </c>
      <c r="F34" s="168"/>
      <c r="G34" s="157">
        <f t="shared" si="3"/>
        <v>0</v>
      </c>
      <c r="H34" s="168"/>
      <c r="I34" s="157">
        <f t="shared" si="4"/>
        <v>0</v>
      </c>
      <c r="J34" s="168"/>
      <c r="K34" s="169"/>
    </row>
    <row r="35">
      <c r="C35" s="159"/>
      <c r="D35" s="28"/>
      <c r="E35" s="30">
        <v>256.0</v>
      </c>
      <c r="F35" s="139"/>
      <c r="G35" s="138">
        <f t="shared" si="3"/>
        <v>0</v>
      </c>
      <c r="H35" s="139"/>
      <c r="I35" s="138">
        <f t="shared" si="4"/>
        <v>0</v>
      </c>
      <c r="J35" s="139"/>
      <c r="K35" s="170"/>
    </row>
    <row r="36">
      <c r="C36" s="159"/>
      <c r="D36" s="28"/>
      <c r="E36" s="30">
        <v>512.0</v>
      </c>
      <c r="F36" s="139"/>
      <c r="G36" s="138">
        <f t="shared" si="3"/>
        <v>0</v>
      </c>
      <c r="H36" s="139"/>
      <c r="I36" s="138">
        <f t="shared" si="4"/>
        <v>0</v>
      </c>
      <c r="J36" s="139"/>
      <c r="K36" s="170"/>
    </row>
    <row r="37">
      <c r="C37" s="159"/>
      <c r="D37" s="28"/>
      <c r="E37" s="30">
        <v>1024.0</v>
      </c>
      <c r="F37" s="139"/>
      <c r="G37" s="138">
        <f t="shared" si="3"/>
        <v>0</v>
      </c>
      <c r="H37" s="139"/>
      <c r="I37" s="138">
        <f t="shared" si="4"/>
        <v>0</v>
      </c>
      <c r="J37" s="139"/>
      <c r="K37" s="170"/>
    </row>
    <row r="38">
      <c r="C38" s="159"/>
      <c r="D38" s="42"/>
      <c r="E38" s="44">
        <v>1500.0</v>
      </c>
      <c r="F38" s="171"/>
      <c r="G38" s="164">
        <f t="shared" si="3"/>
        <v>0</v>
      </c>
      <c r="H38" s="171"/>
      <c r="I38" s="164">
        <f t="shared" si="4"/>
        <v>0</v>
      </c>
      <c r="J38" s="171"/>
      <c r="K38" s="172"/>
    </row>
    <row r="39">
      <c r="C39" s="159"/>
      <c r="D39" s="166" t="s">
        <v>22</v>
      </c>
      <c r="E39" s="167">
        <v>64.0</v>
      </c>
      <c r="F39" s="168"/>
      <c r="G39" s="157">
        <f t="shared" si="3"/>
        <v>0</v>
      </c>
      <c r="H39" s="168"/>
      <c r="I39" s="157">
        <f t="shared" si="4"/>
        <v>0</v>
      </c>
      <c r="J39" s="168"/>
      <c r="K39" s="169"/>
    </row>
    <row r="40">
      <c r="C40" s="159"/>
      <c r="D40" s="28"/>
      <c r="E40" s="30">
        <v>256.0</v>
      </c>
      <c r="F40" s="139"/>
      <c r="G40" s="138">
        <f t="shared" si="3"/>
        <v>0</v>
      </c>
      <c r="H40" s="139"/>
      <c r="I40" s="138">
        <f t="shared" si="4"/>
        <v>0</v>
      </c>
      <c r="J40" s="139"/>
      <c r="K40" s="170"/>
    </row>
    <row r="41">
      <c r="C41" s="159"/>
      <c r="D41" s="28"/>
      <c r="E41" s="30">
        <v>512.0</v>
      </c>
      <c r="F41" s="139"/>
      <c r="G41" s="138">
        <f t="shared" si="3"/>
        <v>0</v>
      </c>
      <c r="H41" s="139"/>
      <c r="I41" s="138">
        <f t="shared" si="4"/>
        <v>0</v>
      </c>
      <c r="J41" s="139"/>
      <c r="K41" s="170"/>
    </row>
    <row r="42">
      <c r="C42" s="159"/>
      <c r="D42" s="28"/>
      <c r="E42" s="30">
        <v>1024.0</v>
      </c>
      <c r="F42" s="139"/>
      <c r="G42" s="138">
        <f t="shared" si="3"/>
        <v>0</v>
      </c>
      <c r="H42" s="139"/>
      <c r="I42" s="138">
        <f t="shared" si="4"/>
        <v>0</v>
      </c>
      <c r="J42" s="139"/>
      <c r="K42" s="170"/>
    </row>
    <row r="43">
      <c r="C43" s="173"/>
      <c r="D43" s="42"/>
      <c r="E43" s="44">
        <v>1500.0</v>
      </c>
      <c r="F43" s="171"/>
      <c r="G43" s="164">
        <f t="shared" si="3"/>
        <v>0</v>
      </c>
      <c r="H43" s="171"/>
      <c r="I43" s="164">
        <f t="shared" si="4"/>
        <v>0</v>
      </c>
      <c r="J43" s="171"/>
      <c r="K43" s="172"/>
    </row>
  </sheetData>
  <mergeCells count="14">
    <mergeCell ref="D11:D15"/>
    <mergeCell ref="D16:D20"/>
    <mergeCell ref="D21:D25"/>
    <mergeCell ref="C29:C43"/>
    <mergeCell ref="D29:D33"/>
    <mergeCell ref="D34:D38"/>
    <mergeCell ref="D39:D43"/>
    <mergeCell ref="A2:C2"/>
    <mergeCell ref="A3:B3"/>
    <mergeCell ref="A4:B4"/>
    <mergeCell ref="A5:B5"/>
    <mergeCell ref="A6:B6"/>
    <mergeCell ref="A7:B7"/>
    <mergeCell ref="C11:C25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3" max="3" width="21.43"/>
  </cols>
  <sheetData>
    <row r="2">
      <c r="A2" s="1" t="s">
        <v>0</v>
      </c>
      <c r="B2" s="2">
        <v>2003.0</v>
      </c>
    </row>
    <row r="5">
      <c r="A5" s="6" t="s">
        <v>1</v>
      </c>
      <c r="B5" s="7"/>
      <c r="C5" s="8"/>
    </row>
    <row r="6">
      <c r="A6" s="10" t="s">
        <v>2</v>
      </c>
      <c r="B6" s="8"/>
      <c r="C6" s="11" t="s">
        <v>56</v>
      </c>
    </row>
    <row r="7">
      <c r="A7" s="10" t="s">
        <v>4</v>
      </c>
      <c r="B7" s="8"/>
      <c r="C7" s="12">
        <v>1.0E-5</v>
      </c>
    </row>
    <row r="8">
      <c r="A8" s="10" t="s">
        <v>5</v>
      </c>
      <c r="B8" s="8"/>
      <c r="C8" s="11" t="s">
        <v>130</v>
      </c>
    </row>
    <row r="9">
      <c r="A9" s="10" t="s">
        <v>7</v>
      </c>
      <c r="B9" s="8"/>
      <c r="C9" s="11" t="s">
        <v>109</v>
      </c>
    </row>
    <row r="10">
      <c r="A10" s="10" t="s">
        <v>9</v>
      </c>
      <c r="B10" s="8"/>
      <c r="C10" s="11" t="s">
        <v>10</v>
      </c>
    </row>
    <row r="13">
      <c r="C13" s="135" t="s">
        <v>12</v>
      </c>
      <c r="D13" s="135" t="s">
        <v>14</v>
      </c>
      <c r="E13" s="135" t="s">
        <v>99</v>
      </c>
      <c r="F13" s="147" t="s">
        <v>100</v>
      </c>
      <c r="G13" s="147" t="s">
        <v>23</v>
      </c>
      <c r="H13" s="135" t="s">
        <v>101</v>
      </c>
      <c r="I13" s="135" t="s">
        <v>27</v>
      </c>
      <c r="J13" s="135" t="s">
        <v>28</v>
      </c>
      <c r="K13" s="135" t="s">
        <v>131</v>
      </c>
      <c r="L13" s="135" t="s">
        <v>110</v>
      </c>
    </row>
    <row r="14">
      <c r="C14" s="34" t="s">
        <v>16</v>
      </c>
      <c r="D14" s="136" t="s">
        <v>18</v>
      </c>
      <c r="E14" s="137">
        <v>64.0</v>
      </c>
      <c r="F14" s="138"/>
      <c r="G14" s="138"/>
      <c r="H14" s="138"/>
      <c r="I14" s="138"/>
      <c r="J14" s="138"/>
      <c r="K14" s="138"/>
      <c r="L14" s="138"/>
    </row>
    <row r="15">
      <c r="C15" s="29"/>
      <c r="D15" s="29"/>
      <c r="E15" s="137">
        <v>256.0</v>
      </c>
      <c r="F15" s="138"/>
      <c r="G15" s="138"/>
      <c r="H15" s="138"/>
      <c r="I15" s="138"/>
      <c r="J15" s="138"/>
      <c r="K15" s="138"/>
      <c r="L15" s="138"/>
    </row>
    <row r="16">
      <c r="C16" s="29"/>
      <c r="D16" s="29"/>
      <c r="E16" s="137">
        <v>512.0</v>
      </c>
      <c r="F16" s="138"/>
      <c r="G16" s="138"/>
      <c r="H16" s="138"/>
      <c r="I16" s="138"/>
      <c r="J16" s="138"/>
      <c r="K16" s="138"/>
      <c r="L16" s="138"/>
    </row>
    <row r="17">
      <c r="C17" s="29"/>
      <c r="D17" s="29"/>
      <c r="E17" s="137">
        <v>1024.0</v>
      </c>
      <c r="F17" s="138"/>
      <c r="G17" s="138"/>
      <c r="H17" s="138"/>
      <c r="I17" s="138"/>
      <c r="J17" s="138"/>
      <c r="K17" s="138"/>
      <c r="L17" s="138"/>
    </row>
    <row r="18">
      <c r="C18" s="29"/>
      <c r="D18" s="32"/>
      <c r="E18" s="137">
        <v>1500.0</v>
      </c>
      <c r="F18" s="138"/>
      <c r="G18" s="138"/>
      <c r="H18" s="138"/>
      <c r="I18" s="138"/>
      <c r="J18" s="138"/>
      <c r="K18" s="138"/>
      <c r="L18" s="138"/>
    </row>
    <row r="19">
      <c r="C19" s="29"/>
      <c r="D19" s="34" t="s">
        <v>19</v>
      </c>
      <c r="E19" s="30">
        <v>64.0</v>
      </c>
      <c r="F19" s="139"/>
      <c r="G19" s="139"/>
      <c r="H19" s="139"/>
      <c r="I19" s="139"/>
      <c r="J19" s="139"/>
      <c r="K19" s="139"/>
      <c r="L19" s="139"/>
    </row>
    <row r="20">
      <c r="C20" s="29"/>
      <c r="D20" s="29"/>
      <c r="E20" s="30">
        <v>256.0</v>
      </c>
      <c r="F20" s="139"/>
      <c r="G20" s="139"/>
      <c r="H20" s="139"/>
      <c r="I20" s="139"/>
      <c r="J20" s="139"/>
      <c r="K20" s="139"/>
      <c r="L20" s="139"/>
    </row>
    <row r="21">
      <c r="C21" s="29"/>
      <c r="D21" s="29"/>
      <c r="E21" s="30">
        <v>512.0</v>
      </c>
      <c r="F21" s="139"/>
      <c r="G21" s="139"/>
      <c r="H21" s="139"/>
      <c r="I21" s="139"/>
      <c r="J21" s="139"/>
      <c r="K21" s="139"/>
      <c r="L21" s="139"/>
    </row>
    <row r="22">
      <c r="C22" s="29"/>
      <c r="D22" s="29"/>
      <c r="E22" s="30">
        <v>1024.0</v>
      </c>
      <c r="F22" s="139"/>
      <c r="G22" s="139"/>
      <c r="H22" s="139"/>
      <c r="I22" s="139"/>
      <c r="J22" s="139"/>
      <c r="K22" s="139"/>
      <c r="L22" s="139"/>
    </row>
    <row r="23">
      <c r="C23" s="29"/>
      <c r="D23" s="32"/>
      <c r="E23" s="30">
        <v>1500.0</v>
      </c>
      <c r="F23" s="139"/>
      <c r="G23" s="139"/>
      <c r="H23" s="139"/>
      <c r="I23" s="139"/>
      <c r="J23" s="139"/>
      <c r="K23" s="139"/>
      <c r="L23" s="139"/>
    </row>
    <row r="24">
      <c r="C24" s="29"/>
      <c r="D24" s="34" t="s">
        <v>22</v>
      </c>
      <c r="E24" s="30">
        <v>64.0</v>
      </c>
      <c r="F24" s="139"/>
      <c r="G24" s="139"/>
      <c r="H24" s="139"/>
      <c r="I24" s="139"/>
      <c r="J24" s="139"/>
      <c r="K24" s="139"/>
      <c r="L24" s="139"/>
    </row>
    <row r="25">
      <c r="C25" s="29"/>
      <c r="D25" s="29"/>
      <c r="E25" s="30">
        <v>256.0</v>
      </c>
      <c r="F25" s="139"/>
      <c r="G25" s="139"/>
      <c r="H25" s="139"/>
      <c r="I25" s="139"/>
      <c r="J25" s="139"/>
      <c r="K25" s="139"/>
      <c r="L25" s="139"/>
    </row>
    <row r="26">
      <c r="C26" s="29"/>
      <c r="D26" s="29"/>
      <c r="E26" s="30">
        <v>512.0</v>
      </c>
      <c r="F26" s="139"/>
      <c r="G26" s="139"/>
      <c r="H26" s="139"/>
      <c r="I26" s="139"/>
      <c r="J26" s="139"/>
      <c r="K26" s="139"/>
      <c r="L26" s="139"/>
    </row>
    <row r="27">
      <c r="C27" s="29"/>
      <c r="D27" s="29"/>
      <c r="E27" s="30">
        <v>1024.0</v>
      </c>
      <c r="F27" s="139"/>
      <c r="G27" s="139"/>
      <c r="H27" s="139"/>
      <c r="I27" s="139"/>
      <c r="J27" s="139"/>
      <c r="K27" s="139"/>
      <c r="L27" s="139"/>
    </row>
    <row r="28">
      <c r="C28" s="32"/>
      <c r="D28" s="32"/>
      <c r="E28" s="30">
        <v>1500.0</v>
      </c>
      <c r="F28" s="139"/>
      <c r="G28" s="139"/>
      <c r="H28" s="139"/>
      <c r="I28" s="139"/>
      <c r="J28" s="139"/>
      <c r="K28" s="139"/>
      <c r="L28" s="139"/>
    </row>
    <row r="31">
      <c r="C31" s="135" t="s">
        <v>12</v>
      </c>
      <c r="D31" s="135" t="s">
        <v>14</v>
      </c>
      <c r="E31" s="135" t="s">
        <v>99</v>
      </c>
      <c r="F31" s="147" t="s">
        <v>100</v>
      </c>
      <c r="G31" s="147" t="s">
        <v>23</v>
      </c>
      <c r="H31" s="135" t="s">
        <v>101</v>
      </c>
      <c r="I31" s="135" t="s">
        <v>27</v>
      </c>
      <c r="J31" s="135" t="s">
        <v>28</v>
      </c>
      <c r="K31" s="135" t="s">
        <v>131</v>
      </c>
      <c r="L31" s="135" t="s">
        <v>110</v>
      </c>
    </row>
    <row r="32">
      <c r="C32" s="34" t="s">
        <v>29</v>
      </c>
      <c r="D32" s="136" t="s">
        <v>18</v>
      </c>
      <c r="E32" s="137">
        <v>64.0</v>
      </c>
      <c r="F32" s="138"/>
      <c r="G32" s="138"/>
      <c r="H32" s="138"/>
      <c r="I32" s="138"/>
      <c r="J32" s="138"/>
      <c r="K32" s="138"/>
      <c r="L32" s="138"/>
    </row>
    <row r="33">
      <c r="C33" s="29"/>
      <c r="D33" s="29"/>
      <c r="E33" s="137">
        <v>256.0</v>
      </c>
      <c r="F33" s="138"/>
      <c r="G33" s="138"/>
      <c r="H33" s="138"/>
      <c r="I33" s="138"/>
      <c r="J33" s="138"/>
      <c r="K33" s="138"/>
      <c r="L33" s="138"/>
    </row>
    <row r="34">
      <c r="C34" s="29"/>
      <c r="D34" s="29"/>
      <c r="E34" s="137">
        <v>512.0</v>
      </c>
      <c r="F34" s="138"/>
      <c r="G34" s="138"/>
      <c r="H34" s="138"/>
      <c r="I34" s="138"/>
      <c r="J34" s="138"/>
      <c r="K34" s="138"/>
      <c r="L34" s="138"/>
    </row>
    <row r="35">
      <c r="C35" s="29"/>
      <c r="D35" s="29"/>
      <c r="E35" s="137">
        <v>1024.0</v>
      </c>
      <c r="F35" s="138"/>
      <c r="G35" s="138"/>
      <c r="H35" s="138"/>
      <c r="I35" s="138"/>
      <c r="J35" s="138"/>
      <c r="K35" s="138"/>
      <c r="L35" s="138"/>
    </row>
    <row r="36">
      <c r="C36" s="29"/>
      <c r="D36" s="32"/>
      <c r="E36" s="137">
        <v>1500.0</v>
      </c>
      <c r="F36" s="138"/>
      <c r="G36" s="138"/>
      <c r="H36" s="138"/>
      <c r="I36" s="138"/>
      <c r="J36" s="138"/>
      <c r="K36" s="138"/>
      <c r="L36" s="138"/>
    </row>
    <row r="37">
      <c r="C37" s="29"/>
      <c r="D37" s="34" t="s">
        <v>19</v>
      </c>
      <c r="E37" s="30">
        <v>64.0</v>
      </c>
      <c r="F37" s="139"/>
      <c r="G37" s="139"/>
      <c r="H37" s="139"/>
      <c r="I37" s="139"/>
      <c r="J37" s="139"/>
      <c r="K37" s="139"/>
      <c r="L37" s="139"/>
    </row>
    <row r="38">
      <c r="C38" s="29"/>
      <c r="D38" s="29"/>
      <c r="E38" s="30">
        <v>256.0</v>
      </c>
      <c r="F38" s="139"/>
      <c r="G38" s="139"/>
      <c r="H38" s="139"/>
      <c r="I38" s="139"/>
      <c r="J38" s="139"/>
      <c r="K38" s="139"/>
      <c r="L38" s="139"/>
    </row>
    <row r="39">
      <c r="C39" s="29"/>
      <c r="D39" s="29"/>
      <c r="E39" s="30">
        <v>512.0</v>
      </c>
      <c r="F39" s="139"/>
      <c r="G39" s="139"/>
      <c r="H39" s="139"/>
      <c r="I39" s="139"/>
      <c r="J39" s="139"/>
      <c r="K39" s="139"/>
      <c r="L39" s="139"/>
    </row>
    <row r="40">
      <c r="C40" s="29"/>
      <c r="D40" s="29"/>
      <c r="E40" s="30">
        <v>1024.0</v>
      </c>
      <c r="F40" s="139"/>
      <c r="G40" s="139"/>
      <c r="H40" s="139"/>
      <c r="I40" s="139"/>
      <c r="J40" s="139"/>
      <c r="K40" s="139"/>
      <c r="L40" s="139"/>
    </row>
    <row r="41">
      <c r="C41" s="29"/>
      <c r="D41" s="32"/>
      <c r="E41" s="30">
        <v>1500.0</v>
      </c>
      <c r="F41" s="139"/>
      <c r="G41" s="139"/>
      <c r="H41" s="139"/>
      <c r="I41" s="139"/>
      <c r="J41" s="139"/>
      <c r="K41" s="139"/>
      <c r="L41" s="139"/>
    </row>
    <row r="42">
      <c r="C42" s="29"/>
      <c r="D42" s="34" t="s">
        <v>22</v>
      </c>
      <c r="E42" s="30">
        <v>64.0</v>
      </c>
      <c r="F42" s="139"/>
      <c r="G42" s="139"/>
      <c r="H42" s="139"/>
      <c r="I42" s="139"/>
      <c r="J42" s="139"/>
      <c r="K42" s="139"/>
      <c r="L42" s="139"/>
    </row>
    <row r="43">
      <c r="C43" s="29"/>
      <c r="D43" s="29"/>
      <c r="E43" s="30">
        <v>256.0</v>
      </c>
      <c r="F43" s="139"/>
      <c r="G43" s="139"/>
      <c r="H43" s="139"/>
      <c r="I43" s="139"/>
      <c r="J43" s="139"/>
      <c r="K43" s="139"/>
      <c r="L43" s="139"/>
    </row>
    <row r="44">
      <c r="C44" s="29"/>
      <c r="D44" s="29"/>
      <c r="E44" s="30">
        <v>512.0</v>
      </c>
      <c r="F44" s="139"/>
      <c r="G44" s="139"/>
      <c r="H44" s="139"/>
      <c r="I44" s="139"/>
      <c r="J44" s="139"/>
      <c r="K44" s="139"/>
      <c r="L44" s="139"/>
    </row>
    <row r="45">
      <c r="C45" s="29"/>
      <c r="D45" s="29"/>
      <c r="E45" s="30">
        <v>1024.0</v>
      </c>
      <c r="F45" s="139"/>
      <c r="G45" s="139"/>
      <c r="H45" s="139"/>
      <c r="I45" s="139"/>
      <c r="J45" s="139"/>
      <c r="K45" s="139"/>
      <c r="L45" s="139"/>
    </row>
    <row r="46">
      <c r="C46" s="32"/>
      <c r="D46" s="32"/>
      <c r="E46" s="30">
        <v>1500.0</v>
      </c>
      <c r="F46" s="139"/>
      <c r="G46" s="139"/>
      <c r="H46" s="139"/>
      <c r="I46" s="139"/>
      <c r="J46" s="139"/>
      <c r="K46" s="139"/>
      <c r="L46" s="139"/>
    </row>
  </sheetData>
  <mergeCells count="14">
    <mergeCell ref="D14:D18"/>
    <mergeCell ref="D19:D23"/>
    <mergeCell ref="D24:D28"/>
    <mergeCell ref="C32:C46"/>
    <mergeCell ref="D32:D36"/>
    <mergeCell ref="D37:D41"/>
    <mergeCell ref="D42:D46"/>
    <mergeCell ref="A5:C5"/>
    <mergeCell ref="A6:B6"/>
    <mergeCell ref="A7:B7"/>
    <mergeCell ref="A8:B8"/>
    <mergeCell ref="A9:B9"/>
    <mergeCell ref="A10:B10"/>
    <mergeCell ref="C14:C28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3" max="3" width="22.57"/>
    <col customWidth="1" min="5" max="5" width="8.71"/>
    <col customWidth="1" min="6" max="6" width="12.14"/>
    <col customWidth="1" min="7" max="7" width="11.86"/>
    <col customWidth="1" min="8" max="8" width="10.0"/>
    <col customWidth="1" min="9" max="9" width="10.57"/>
    <col customWidth="1" min="10" max="10" width="8.29"/>
    <col customWidth="1" min="11" max="23" width="8.71"/>
  </cols>
  <sheetData>
    <row r="1">
      <c r="A1" s="1" t="s">
        <v>0</v>
      </c>
      <c r="B1" s="2">
        <v>2003.0</v>
      </c>
    </row>
    <row r="2">
      <c r="A2" s="6" t="s">
        <v>1</v>
      </c>
      <c r="B2" s="7"/>
      <c r="C2" s="8"/>
    </row>
    <row r="3">
      <c r="A3" s="10" t="s">
        <v>2</v>
      </c>
      <c r="B3" s="8"/>
      <c r="C3" s="11" t="s">
        <v>56</v>
      </c>
      <c r="D3" s="14">
        <v>4.0</v>
      </c>
    </row>
    <row r="4">
      <c r="A4" s="10" t="s">
        <v>4</v>
      </c>
      <c r="B4" s="8"/>
      <c r="C4" s="12">
        <v>1.0E-5</v>
      </c>
    </row>
    <row r="5">
      <c r="A5" s="10" t="s">
        <v>5</v>
      </c>
      <c r="B5" s="8"/>
      <c r="C5" s="11" t="s">
        <v>25</v>
      </c>
    </row>
    <row r="6">
      <c r="A6" s="10" t="s">
        <v>7</v>
      </c>
      <c r="B6" s="8"/>
      <c r="C6" s="11" t="s">
        <v>21</v>
      </c>
    </row>
    <row r="7">
      <c r="A7" s="10" t="s">
        <v>9</v>
      </c>
      <c r="B7" s="8"/>
      <c r="C7" s="11" t="s">
        <v>10</v>
      </c>
    </row>
    <row r="10">
      <c r="A10" s="15"/>
      <c r="B10" s="15"/>
      <c r="C10" s="150" t="s">
        <v>12</v>
      </c>
      <c r="D10" s="151" t="s">
        <v>14</v>
      </c>
      <c r="E10" s="151" t="s">
        <v>99</v>
      </c>
      <c r="F10" s="151" t="s">
        <v>100</v>
      </c>
      <c r="G10" s="151" t="s">
        <v>23</v>
      </c>
      <c r="H10" s="151" t="s">
        <v>101</v>
      </c>
      <c r="I10" s="151" t="s">
        <v>27</v>
      </c>
      <c r="J10" s="151" t="s">
        <v>28</v>
      </c>
      <c r="K10" s="152" t="s">
        <v>110</v>
      </c>
      <c r="L10" s="3"/>
      <c r="M10" s="3"/>
      <c r="O10" s="3"/>
      <c r="P10" s="3"/>
      <c r="Q10" s="3"/>
      <c r="R10" s="3"/>
      <c r="S10" s="3"/>
      <c r="T10" s="3"/>
      <c r="U10" s="3"/>
      <c r="V10" s="3"/>
      <c r="W10" s="3"/>
    </row>
    <row r="11">
      <c r="C11" s="153" t="s">
        <v>16</v>
      </c>
      <c r="D11" s="154" t="s">
        <v>18</v>
      </c>
      <c r="E11" s="155">
        <v>64.0</v>
      </c>
      <c r="F11" s="156">
        <v>3.3</v>
      </c>
      <c r="G11" s="157">
        <f t="shared" ref="G11:G25" si="1">F11/$D$3</f>
        <v>0.825</v>
      </c>
      <c r="H11" s="155">
        <v>4.925</v>
      </c>
      <c r="I11" s="157">
        <f t="shared" ref="I11:I25" si="2">H11/$D$3*2</f>
        <v>2.4625</v>
      </c>
      <c r="J11" s="155">
        <v>674.0</v>
      </c>
      <c r="K11" s="158">
        <v>3066.0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>
      <c r="C12" s="159"/>
      <c r="D12" s="28"/>
      <c r="E12" s="137">
        <v>256.0</v>
      </c>
      <c r="F12" s="160">
        <v>10.5</v>
      </c>
      <c r="G12" s="138">
        <f t="shared" si="1"/>
        <v>2.625</v>
      </c>
      <c r="H12" s="137">
        <v>4.746</v>
      </c>
      <c r="I12" s="138">
        <f t="shared" si="2"/>
        <v>2.373</v>
      </c>
      <c r="J12" s="137">
        <v>459.0</v>
      </c>
      <c r="K12" s="161">
        <v>3257.0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>
      <c r="C13" s="159"/>
      <c r="D13" s="28"/>
      <c r="E13" s="137">
        <v>512.0</v>
      </c>
      <c r="F13" s="160">
        <v>18.2</v>
      </c>
      <c r="G13" s="138">
        <f t="shared" si="1"/>
        <v>4.55</v>
      </c>
      <c r="H13" s="137">
        <v>4.284</v>
      </c>
      <c r="I13" s="138">
        <f t="shared" si="2"/>
        <v>2.142</v>
      </c>
      <c r="J13" s="137">
        <v>271.0</v>
      </c>
      <c r="K13" s="161">
        <v>1223.0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>
      <c r="C14" s="159"/>
      <c r="D14" s="28"/>
      <c r="E14" s="137">
        <v>1024.0</v>
      </c>
      <c r="F14" s="160">
        <v>19.0</v>
      </c>
      <c r="G14" s="138">
        <f t="shared" si="1"/>
        <v>4.75</v>
      </c>
      <c r="H14" s="137">
        <v>2.271</v>
      </c>
      <c r="I14" s="138">
        <f t="shared" si="2"/>
        <v>1.1355</v>
      </c>
      <c r="J14" s="137">
        <v>164.0</v>
      </c>
      <c r="K14" s="161">
        <v>1086.0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>
      <c r="C15" s="159"/>
      <c r="D15" s="42"/>
      <c r="E15" s="162">
        <v>1500.0</v>
      </c>
      <c r="F15" s="163">
        <v>19.2</v>
      </c>
      <c r="G15" s="164">
        <f t="shared" si="1"/>
        <v>4.8</v>
      </c>
      <c r="H15" s="162">
        <v>1.58</v>
      </c>
      <c r="I15" s="164">
        <f t="shared" si="2"/>
        <v>0.79</v>
      </c>
      <c r="J15" s="162">
        <v>200.0</v>
      </c>
      <c r="K15" s="165">
        <v>1455.0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>
      <c r="C16" s="159"/>
      <c r="D16" s="166" t="s">
        <v>19</v>
      </c>
      <c r="E16" s="167">
        <v>64.0</v>
      </c>
      <c r="F16" s="167">
        <v>2.0</v>
      </c>
      <c r="G16" s="157">
        <f t="shared" si="1"/>
        <v>0.5</v>
      </c>
      <c r="H16" s="167">
        <v>5.0</v>
      </c>
      <c r="I16" s="157">
        <f t="shared" si="2"/>
        <v>2.5</v>
      </c>
      <c r="J16" s="168"/>
      <c r="K16" s="169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>
      <c r="C17" s="159"/>
      <c r="D17" s="28"/>
      <c r="E17" s="30">
        <v>256.0</v>
      </c>
      <c r="F17" s="30">
        <v>4.0</v>
      </c>
      <c r="G17" s="138">
        <f t="shared" si="1"/>
        <v>1</v>
      </c>
      <c r="H17" s="30">
        <v>4.0</v>
      </c>
      <c r="I17" s="138">
        <f t="shared" si="2"/>
        <v>2</v>
      </c>
      <c r="J17" s="139"/>
      <c r="K17" s="170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>
      <c r="C18" s="159"/>
      <c r="D18" s="28"/>
      <c r="E18" s="30">
        <v>512.0</v>
      </c>
      <c r="F18" s="30">
        <v>5.0</v>
      </c>
      <c r="G18" s="138">
        <f t="shared" si="1"/>
        <v>1.25</v>
      </c>
      <c r="H18" s="30">
        <v>2.0</v>
      </c>
      <c r="I18" s="138">
        <f t="shared" si="2"/>
        <v>1</v>
      </c>
      <c r="J18" s="139"/>
      <c r="K18" s="170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>
      <c r="C19" s="159"/>
      <c r="D19" s="28"/>
      <c r="E19" s="30">
        <v>1024.0</v>
      </c>
      <c r="F19" s="30">
        <v>6.0</v>
      </c>
      <c r="G19" s="138">
        <f t="shared" si="1"/>
        <v>1.5</v>
      </c>
      <c r="H19" s="30">
        <v>3.0</v>
      </c>
      <c r="I19" s="138">
        <f t="shared" si="2"/>
        <v>1.5</v>
      </c>
      <c r="J19" s="139"/>
      <c r="K19" s="170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>
      <c r="C20" s="159"/>
      <c r="D20" s="42"/>
      <c r="E20" s="44">
        <v>1500.0</v>
      </c>
      <c r="F20" s="44">
        <v>7.0</v>
      </c>
      <c r="G20" s="164">
        <f t="shared" si="1"/>
        <v>1.75</v>
      </c>
      <c r="H20" s="44">
        <v>1.0</v>
      </c>
      <c r="I20" s="164">
        <f t="shared" si="2"/>
        <v>0.5</v>
      </c>
      <c r="J20" s="171"/>
      <c r="K20" s="17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>
      <c r="C21" s="159"/>
      <c r="D21" s="166" t="s">
        <v>22</v>
      </c>
      <c r="E21" s="167">
        <v>64.0</v>
      </c>
      <c r="F21" s="168"/>
      <c r="G21" s="157">
        <f t="shared" si="1"/>
        <v>0</v>
      </c>
      <c r="H21" s="168"/>
      <c r="I21" s="157">
        <f t="shared" si="2"/>
        <v>0</v>
      </c>
      <c r="J21" s="168"/>
      <c r="K21" s="169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>
      <c r="C22" s="159"/>
      <c r="D22" s="28"/>
      <c r="E22" s="30">
        <v>256.0</v>
      </c>
      <c r="F22" s="139"/>
      <c r="G22" s="138">
        <f t="shared" si="1"/>
        <v>0</v>
      </c>
      <c r="H22" s="139"/>
      <c r="I22" s="138">
        <f t="shared" si="2"/>
        <v>0</v>
      </c>
      <c r="J22" s="139"/>
      <c r="K22" s="170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>
      <c r="C23" s="159"/>
      <c r="D23" s="28"/>
      <c r="E23" s="30">
        <v>512.0</v>
      </c>
      <c r="F23" s="139"/>
      <c r="G23" s="138">
        <f t="shared" si="1"/>
        <v>0</v>
      </c>
      <c r="H23" s="139"/>
      <c r="I23" s="138">
        <f t="shared" si="2"/>
        <v>0</v>
      </c>
      <c r="J23" s="139"/>
      <c r="K23" s="170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>
      <c r="C24" s="159"/>
      <c r="D24" s="28"/>
      <c r="E24" s="30">
        <v>1024.0</v>
      </c>
      <c r="F24" s="139"/>
      <c r="G24" s="138">
        <f t="shared" si="1"/>
        <v>0</v>
      </c>
      <c r="H24" s="139"/>
      <c r="I24" s="138">
        <f t="shared" si="2"/>
        <v>0</v>
      </c>
      <c r="J24" s="139"/>
      <c r="K24" s="170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>
      <c r="C25" s="173"/>
      <c r="D25" s="42"/>
      <c r="E25" s="44">
        <v>1500.0</v>
      </c>
      <c r="F25" s="171"/>
      <c r="G25" s="164">
        <f t="shared" si="1"/>
        <v>0</v>
      </c>
      <c r="H25" s="171"/>
      <c r="I25" s="164">
        <f t="shared" si="2"/>
        <v>0</v>
      </c>
      <c r="J25" s="171"/>
      <c r="K25" s="172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8">
      <c r="C28" s="150" t="s">
        <v>12</v>
      </c>
      <c r="D28" s="151" t="s">
        <v>14</v>
      </c>
      <c r="E28" s="151" t="s">
        <v>99</v>
      </c>
      <c r="F28" s="151" t="s">
        <v>100</v>
      </c>
      <c r="G28" s="151" t="s">
        <v>23</v>
      </c>
      <c r="H28" s="151" t="s">
        <v>101</v>
      </c>
      <c r="I28" s="151" t="s">
        <v>27</v>
      </c>
      <c r="J28" s="151" t="s">
        <v>28</v>
      </c>
      <c r="K28" s="152" t="s">
        <v>110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>
      <c r="C29" s="153" t="s">
        <v>29</v>
      </c>
      <c r="D29" s="154" t="s">
        <v>18</v>
      </c>
      <c r="E29" s="155">
        <v>64.0</v>
      </c>
      <c r="F29" s="155">
        <v>2.2</v>
      </c>
      <c r="G29" s="157">
        <f t="shared" ref="G29:G43" si="3">F29/$D$3</f>
        <v>0.55</v>
      </c>
      <c r="H29" s="155">
        <v>3.299</v>
      </c>
      <c r="I29" s="157">
        <f t="shared" ref="I29:I43" si="4">H29/$D$3*2</f>
        <v>1.6495</v>
      </c>
      <c r="J29" s="155">
        <v>303.0</v>
      </c>
      <c r="K29" s="158">
        <v>3903.0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>
      <c r="C30" s="159"/>
      <c r="D30" s="28"/>
      <c r="E30" s="137">
        <v>256.0</v>
      </c>
      <c r="F30" s="137">
        <v>7.0</v>
      </c>
      <c r="G30" s="138">
        <f t="shared" si="3"/>
        <v>1.75</v>
      </c>
      <c r="H30" s="137">
        <v>3.189</v>
      </c>
      <c r="I30" s="138">
        <f t="shared" si="4"/>
        <v>1.5945</v>
      </c>
      <c r="J30" s="137">
        <v>262.0</v>
      </c>
      <c r="K30" s="161">
        <v>2115.0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>
      <c r="C31" s="159"/>
      <c r="D31" s="28"/>
      <c r="E31" s="137">
        <v>512.0</v>
      </c>
      <c r="F31" s="137">
        <v>12.7</v>
      </c>
      <c r="G31" s="138">
        <f t="shared" si="3"/>
        <v>3.175</v>
      </c>
      <c r="H31" s="137">
        <v>2.983</v>
      </c>
      <c r="I31" s="138">
        <f t="shared" si="4"/>
        <v>1.4915</v>
      </c>
      <c r="J31" s="137">
        <v>223.0</v>
      </c>
      <c r="K31" s="161">
        <v>1843.0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>
      <c r="C32" s="159"/>
      <c r="D32" s="28"/>
      <c r="E32" s="137">
        <v>1024.0</v>
      </c>
      <c r="F32" s="137">
        <v>18.9</v>
      </c>
      <c r="G32" s="138">
        <f t="shared" si="3"/>
        <v>4.725</v>
      </c>
      <c r="H32" s="137">
        <v>2.264</v>
      </c>
      <c r="I32" s="138">
        <f t="shared" si="4"/>
        <v>1.132</v>
      </c>
      <c r="J32" s="137">
        <v>200.0</v>
      </c>
      <c r="K32" s="161">
        <v>1005.0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>
      <c r="C33" s="159"/>
      <c r="D33" s="42"/>
      <c r="E33" s="162">
        <v>1500.0</v>
      </c>
      <c r="F33" s="162">
        <v>19.2</v>
      </c>
      <c r="G33" s="164">
        <f t="shared" si="3"/>
        <v>4.8</v>
      </c>
      <c r="H33" s="162">
        <v>1.575</v>
      </c>
      <c r="I33" s="164">
        <f t="shared" si="4"/>
        <v>0.7875</v>
      </c>
      <c r="J33" s="162">
        <v>180.0</v>
      </c>
      <c r="K33" s="165">
        <v>1480.0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>
      <c r="C34" s="159"/>
      <c r="D34" s="166" t="s">
        <v>19</v>
      </c>
      <c r="E34" s="167">
        <v>64.0</v>
      </c>
      <c r="F34" s="168"/>
      <c r="G34" s="157">
        <f t="shared" si="3"/>
        <v>0</v>
      </c>
      <c r="H34" s="168"/>
      <c r="I34" s="157">
        <f t="shared" si="4"/>
        <v>0</v>
      </c>
      <c r="J34" s="168"/>
      <c r="K34" s="169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>
      <c r="C35" s="159"/>
      <c r="D35" s="28"/>
      <c r="E35" s="30">
        <v>256.0</v>
      </c>
      <c r="F35" s="139"/>
      <c r="G35" s="138">
        <f t="shared" si="3"/>
        <v>0</v>
      </c>
      <c r="H35" s="139"/>
      <c r="I35" s="138">
        <f t="shared" si="4"/>
        <v>0</v>
      </c>
      <c r="J35" s="139"/>
      <c r="K35" s="170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>
      <c r="C36" s="159"/>
      <c r="D36" s="28"/>
      <c r="E36" s="30">
        <v>512.0</v>
      </c>
      <c r="F36" s="139"/>
      <c r="G36" s="138">
        <f t="shared" si="3"/>
        <v>0</v>
      </c>
      <c r="H36" s="139"/>
      <c r="I36" s="138">
        <f t="shared" si="4"/>
        <v>0</v>
      </c>
      <c r="J36" s="139"/>
      <c r="K36" s="170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>
      <c r="C37" s="159"/>
      <c r="D37" s="28"/>
      <c r="E37" s="30">
        <v>1024.0</v>
      </c>
      <c r="F37" s="139"/>
      <c r="G37" s="138">
        <f t="shared" si="3"/>
        <v>0</v>
      </c>
      <c r="H37" s="139"/>
      <c r="I37" s="138">
        <f t="shared" si="4"/>
        <v>0</v>
      </c>
      <c r="J37" s="139"/>
      <c r="K37" s="170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>
      <c r="C38" s="159"/>
      <c r="D38" s="42"/>
      <c r="E38" s="44">
        <v>1500.0</v>
      </c>
      <c r="F38" s="171"/>
      <c r="G38" s="164">
        <f t="shared" si="3"/>
        <v>0</v>
      </c>
      <c r="H38" s="171"/>
      <c r="I38" s="164">
        <f t="shared" si="4"/>
        <v>0</v>
      </c>
      <c r="J38" s="171"/>
      <c r="K38" s="172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>
      <c r="C39" s="159"/>
      <c r="D39" s="166" t="s">
        <v>22</v>
      </c>
      <c r="E39" s="167">
        <v>64.0</v>
      </c>
      <c r="F39" s="168"/>
      <c r="G39" s="157">
        <f t="shared" si="3"/>
        <v>0</v>
      </c>
      <c r="H39" s="168"/>
      <c r="I39" s="157">
        <f t="shared" si="4"/>
        <v>0</v>
      </c>
      <c r="J39" s="168"/>
      <c r="K39" s="169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>
      <c r="C40" s="159"/>
      <c r="D40" s="28"/>
      <c r="E40" s="30">
        <v>256.0</v>
      </c>
      <c r="F40" s="139"/>
      <c r="G40" s="138">
        <f t="shared" si="3"/>
        <v>0</v>
      </c>
      <c r="H40" s="139"/>
      <c r="I40" s="138">
        <f t="shared" si="4"/>
        <v>0</v>
      </c>
      <c r="J40" s="139"/>
      <c r="K40" s="170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>
      <c r="C41" s="159"/>
      <c r="D41" s="28"/>
      <c r="E41" s="30">
        <v>512.0</v>
      </c>
      <c r="F41" s="139"/>
      <c r="G41" s="138">
        <f t="shared" si="3"/>
        <v>0</v>
      </c>
      <c r="H41" s="139"/>
      <c r="I41" s="138">
        <f t="shared" si="4"/>
        <v>0</v>
      </c>
      <c r="J41" s="139"/>
      <c r="K41" s="170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>
      <c r="C42" s="159"/>
      <c r="D42" s="28"/>
      <c r="E42" s="30">
        <v>1024.0</v>
      </c>
      <c r="F42" s="139"/>
      <c r="G42" s="138">
        <f t="shared" si="3"/>
        <v>0</v>
      </c>
      <c r="H42" s="139"/>
      <c r="I42" s="138">
        <f t="shared" si="4"/>
        <v>0</v>
      </c>
      <c r="J42" s="139"/>
      <c r="K42" s="170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>
      <c r="C43" s="173"/>
      <c r="D43" s="42"/>
      <c r="E43" s="44">
        <v>1500.0</v>
      </c>
      <c r="F43" s="171"/>
      <c r="G43" s="164">
        <f t="shared" si="3"/>
        <v>0</v>
      </c>
      <c r="H43" s="171"/>
      <c r="I43" s="164">
        <f t="shared" si="4"/>
        <v>0</v>
      </c>
      <c r="J43" s="171"/>
      <c r="K43" s="172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</sheetData>
  <mergeCells count="14">
    <mergeCell ref="D11:D15"/>
    <mergeCell ref="D16:D20"/>
    <mergeCell ref="D21:D25"/>
    <mergeCell ref="C29:C43"/>
    <mergeCell ref="D29:D33"/>
    <mergeCell ref="D34:D38"/>
    <mergeCell ref="D39:D43"/>
    <mergeCell ref="A2:C2"/>
    <mergeCell ref="A3:B3"/>
    <mergeCell ref="A4:B4"/>
    <mergeCell ref="A5:B5"/>
    <mergeCell ref="A6:B6"/>
    <mergeCell ref="A7:B7"/>
    <mergeCell ref="C11:C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3" max="3" width="29.0"/>
    <col customWidth="1" min="4" max="4" width="14.14"/>
    <col customWidth="1" min="5" max="9" width="11.14"/>
    <col customWidth="1" min="10" max="12" width="8.71"/>
    <col customWidth="1" min="13" max="13" width="33.14"/>
    <col customWidth="1" min="14" max="14" width="216.57"/>
  </cols>
  <sheetData>
    <row r="1">
      <c r="A1" s="1" t="s">
        <v>0</v>
      </c>
      <c r="B1" s="2">
        <v>2003.0</v>
      </c>
      <c r="D1" s="3"/>
      <c r="E1" s="3"/>
      <c r="H1" s="4"/>
      <c r="I1" s="4"/>
      <c r="J1" s="4"/>
      <c r="K1" s="4"/>
      <c r="L1" s="5"/>
    </row>
    <row r="2">
      <c r="A2" s="6" t="s">
        <v>1</v>
      </c>
      <c r="B2" s="7"/>
      <c r="C2" s="8"/>
      <c r="D2" s="9"/>
      <c r="E2" s="9"/>
      <c r="H2" s="4"/>
      <c r="I2" s="4"/>
      <c r="J2" s="4"/>
      <c r="K2" s="4"/>
      <c r="L2" s="5"/>
    </row>
    <row r="3">
      <c r="A3" s="10" t="s">
        <v>2</v>
      </c>
      <c r="B3" s="8"/>
      <c r="C3" s="11" t="s">
        <v>3</v>
      </c>
      <c r="D3" s="9"/>
      <c r="E3" s="9"/>
      <c r="H3" s="4"/>
      <c r="I3" s="4"/>
      <c r="J3" s="4"/>
      <c r="K3" s="4"/>
      <c r="L3" s="5"/>
    </row>
    <row r="4">
      <c r="A4" s="10" t="s">
        <v>4</v>
      </c>
      <c r="B4" s="8"/>
      <c r="C4" s="12">
        <v>1.0E-5</v>
      </c>
      <c r="D4" s="9"/>
      <c r="E4" s="9"/>
      <c r="H4" s="4"/>
      <c r="I4" s="4"/>
      <c r="J4" s="4"/>
      <c r="K4" s="4"/>
      <c r="L4" s="5"/>
    </row>
    <row r="5">
      <c r="A5" s="10" t="s">
        <v>5</v>
      </c>
      <c r="B5" s="8"/>
      <c r="C5" s="11" t="s">
        <v>25</v>
      </c>
      <c r="D5" s="9"/>
      <c r="E5" s="9"/>
      <c r="H5" s="4"/>
      <c r="I5" s="4"/>
      <c r="J5" s="4"/>
      <c r="K5" s="4"/>
      <c r="L5" s="5"/>
    </row>
    <row r="6">
      <c r="A6" s="10" t="s">
        <v>7</v>
      </c>
      <c r="B6" s="8"/>
      <c r="C6" s="11" t="s">
        <v>21</v>
      </c>
      <c r="D6" s="9"/>
      <c r="E6" s="9"/>
      <c r="H6" s="4"/>
      <c r="I6" s="4"/>
      <c r="J6" s="4"/>
      <c r="K6" s="4"/>
      <c r="L6" s="5"/>
    </row>
    <row r="7">
      <c r="A7" s="10" t="s">
        <v>9</v>
      </c>
      <c r="B7" s="8"/>
      <c r="C7" s="11" t="s">
        <v>10</v>
      </c>
      <c r="D7" s="13"/>
      <c r="E7" s="13"/>
      <c r="H7" s="4"/>
      <c r="I7" s="4"/>
      <c r="J7" s="4"/>
      <c r="K7" s="4"/>
      <c r="L7" s="5"/>
    </row>
    <row r="8">
      <c r="H8" s="4"/>
      <c r="I8" s="4"/>
      <c r="J8" s="4"/>
      <c r="K8" s="4"/>
      <c r="L8" s="5"/>
    </row>
    <row r="9">
      <c r="H9" s="4"/>
      <c r="I9" s="4"/>
      <c r="J9" s="4"/>
      <c r="K9" s="4"/>
      <c r="L9" s="5"/>
    </row>
    <row r="10">
      <c r="A10" s="15"/>
      <c r="B10" s="16" t="s">
        <v>12</v>
      </c>
      <c r="C10" s="16" t="s">
        <v>13</v>
      </c>
      <c r="D10" s="16" t="s">
        <v>14</v>
      </c>
      <c r="E10" s="17" t="s">
        <v>15</v>
      </c>
      <c r="F10" s="18"/>
      <c r="G10" s="18"/>
      <c r="H10" s="18"/>
      <c r="I10" s="19"/>
      <c r="M10" s="3"/>
      <c r="N10" s="3"/>
    </row>
    <row r="11">
      <c r="B11" s="20"/>
      <c r="C11" s="20"/>
      <c r="D11" s="21"/>
      <c r="E11" s="22">
        <v>64.0</v>
      </c>
      <c r="F11" s="22">
        <v>256.0</v>
      </c>
      <c r="G11" s="22">
        <v>512.0</v>
      </c>
      <c r="H11" s="22">
        <v>1024.0</v>
      </c>
      <c r="I11" s="22">
        <v>1500.0</v>
      </c>
      <c r="M11" s="9"/>
      <c r="N11" s="9"/>
    </row>
    <row r="12">
      <c r="B12" s="23" t="s">
        <v>16</v>
      </c>
      <c r="C12" s="24" t="s">
        <v>17</v>
      </c>
      <c r="D12" s="25" t="s">
        <v>18</v>
      </c>
      <c r="E12" s="26">
        <v>3.8</v>
      </c>
      <c r="F12" s="26">
        <v>11.8</v>
      </c>
      <c r="G12" s="26">
        <v>21.2</v>
      </c>
      <c r="H12" s="26">
        <v>36.6</v>
      </c>
      <c r="I12" s="27">
        <v>38.4</v>
      </c>
      <c r="M12" s="9"/>
      <c r="N12" s="9"/>
    </row>
    <row r="13">
      <c r="B13" s="28"/>
      <c r="C13" s="29"/>
      <c r="D13" s="30" t="s">
        <v>19</v>
      </c>
      <c r="E13" s="31">
        <v>2.6</v>
      </c>
      <c r="F13" s="31">
        <v>9.6</v>
      </c>
      <c r="G13" s="31">
        <v>16.8</v>
      </c>
      <c r="H13" s="31">
        <v>19.2</v>
      </c>
      <c r="I13" s="33">
        <v>19.4</v>
      </c>
      <c r="M13" s="9"/>
      <c r="N13" s="9"/>
    </row>
    <row r="14">
      <c r="B14" s="28"/>
      <c r="C14" s="32"/>
      <c r="D14" s="30" t="s">
        <v>22</v>
      </c>
      <c r="E14" s="31">
        <v>3.4</v>
      </c>
      <c r="F14" s="31">
        <v>10.6</v>
      </c>
      <c r="G14" s="31">
        <v>19.6</v>
      </c>
      <c r="H14" s="31">
        <v>29.0</v>
      </c>
      <c r="I14" s="33">
        <v>30.2</v>
      </c>
      <c r="M14" s="9"/>
      <c r="N14" s="9"/>
    </row>
    <row r="15">
      <c r="B15" s="28"/>
      <c r="C15" s="34" t="s">
        <v>23</v>
      </c>
      <c r="D15" s="30" t="s">
        <v>18</v>
      </c>
      <c r="E15" s="35">
        <f t="shared" ref="E15:I15" si="1">E12/2</f>
        <v>1.9</v>
      </c>
      <c r="F15" s="35">
        <f t="shared" si="1"/>
        <v>5.9</v>
      </c>
      <c r="G15" s="35">
        <f t="shared" si="1"/>
        <v>10.6</v>
      </c>
      <c r="H15" s="35">
        <f t="shared" si="1"/>
        <v>18.3</v>
      </c>
      <c r="I15" s="35">
        <f t="shared" si="1"/>
        <v>19.2</v>
      </c>
      <c r="M15" s="9"/>
      <c r="N15" s="9"/>
    </row>
    <row r="16">
      <c r="B16" s="28"/>
      <c r="C16" s="29"/>
      <c r="D16" s="30" t="s">
        <v>19</v>
      </c>
      <c r="E16" s="35">
        <f t="shared" ref="E16:I16" si="2">E13/2</f>
        <v>1.3</v>
      </c>
      <c r="F16" s="35">
        <f t="shared" si="2"/>
        <v>4.8</v>
      </c>
      <c r="G16" s="35">
        <f t="shared" si="2"/>
        <v>8.4</v>
      </c>
      <c r="H16" s="35">
        <f t="shared" si="2"/>
        <v>9.6</v>
      </c>
      <c r="I16" s="35">
        <f t="shared" si="2"/>
        <v>9.7</v>
      </c>
      <c r="M16" s="13"/>
      <c r="N16" s="13"/>
    </row>
    <row r="17">
      <c r="B17" s="28"/>
      <c r="C17" s="32"/>
      <c r="D17" s="30" t="s">
        <v>22</v>
      </c>
      <c r="E17" s="35">
        <f t="shared" ref="E17:I17" si="3">E14/2</f>
        <v>1.7</v>
      </c>
      <c r="F17" s="35">
        <f t="shared" si="3"/>
        <v>5.3</v>
      </c>
      <c r="G17" s="35">
        <f t="shared" si="3"/>
        <v>9.8</v>
      </c>
      <c r="H17" s="35">
        <f t="shared" si="3"/>
        <v>14.5</v>
      </c>
      <c r="I17" s="35">
        <f t="shared" si="3"/>
        <v>15.1</v>
      </c>
      <c r="M17" s="13"/>
      <c r="N17" s="13"/>
    </row>
    <row r="18">
      <c r="B18" s="28"/>
      <c r="C18" s="34" t="s">
        <v>26</v>
      </c>
      <c r="D18" s="30" t="s">
        <v>18</v>
      </c>
      <c r="E18" s="36">
        <f>2.761*2</f>
        <v>5.522</v>
      </c>
      <c r="F18" s="36">
        <f>2.663*2</f>
        <v>5.326</v>
      </c>
      <c r="G18" s="37">
        <f> 2.494*2</f>
        <v>4.988</v>
      </c>
      <c r="H18" s="36">
        <f> 2.194*2</f>
        <v>4.388</v>
      </c>
      <c r="I18" s="38">
        <f> 1.58*2</f>
        <v>3.16</v>
      </c>
      <c r="M18" s="13"/>
      <c r="N18" s="13"/>
    </row>
    <row r="19">
      <c r="B19" s="28"/>
      <c r="C19" s="29"/>
      <c r="D19" s="30" t="s">
        <v>19</v>
      </c>
      <c r="E19" s="37">
        <f>1.991*2</f>
        <v>3.982</v>
      </c>
      <c r="F19" s="37">
        <f>2.189*2</f>
        <v>4.378</v>
      </c>
      <c r="G19" s="37">
        <f>1.982*2</f>
        <v>3.964</v>
      </c>
      <c r="H19" s="37">
        <f>1.148*2</f>
        <v>2.296</v>
      </c>
      <c r="I19" s="38">
        <f>0.798*2</f>
        <v>1.596</v>
      </c>
      <c r="M19" s="13"/>
      <c r="N19" s="13"/>
    </row>
    <row r="20">
      <c r="B20" s="28"/>
      <c r="C20" s="32"/>
      <c r="D20" s="30" t="s">
        <v>22</v>
      </c>
      <c r="E20" s="37">
        <f>2.5*2</f>
        <v>5</v>
      </c>
      <c r="F20" s="37">
        <f>2.419*2</f>
        <v>4.838</v>
      </c>
      <c r="G20" s="37">
        <f> 2.285*2</f>
        <v>4.57</v>
      </c>
      <c r="H20" s="37">
        <f>1.742*2</f>
        <v>3.484</v>
      </c>
      <c r="I20" s="38">
        <f>1.24*2</f>
        <v>2.48</v>
      </c>
      <c r="M20" s="13"/>
      <c r="N20" s="13"/>
    </row>
    <row r="21">
      <c r="B21" s="28"/>
      <c r="C21" s="34" t="s">
        <v>27</v>
      </c>
      <c r="D21" s="30" t="s">
        <v>18</v>
      </c>
      <c r="E21" s="35">
        <f t="shared" ref="E21:I21" si="4">E18/2</f>
        <v>2.761</v>
      </c>
      <c r="F21" s="35">
        <f t="shared" si="4"/>
        <v>2.663</v>
      </c>
      <c r="G21" s="35">
        <f t="shared" si="4"/>
        <v>2.494</v>
      </c>
      <c r="H21" s="35">
        <f t="shared" si="4"/>
        <v>2.194</v>
      </c>
      <c r="I21" s="39">
        <f t="shared" si="4"/>
        <v>1.58</v>
      </c>
      <c r="M21" s="13"/>
      <c r="N21" s="13"/>
    </row>
    <row r="22">
      <c r="B22" s="28"/>
      <c r="C22" s="29"/>
      <c r="D22" s="30" t="s">
        <v>19</v>
      </c>
      <c r="E22" s="35">
        <f t="shared" ref="E22:I22" si="5">E19/2</f>
        <v>1.991</v>
      </c>
      <c r="F22" s="35">
        <f t="shared" si="5"/>
        <v>2.189</v>
      </c>
      <c r="G22" s="35">
        <f t="shared" si="5"/>
        <v>1.982</v>
      </c>
      <c r="H22" s="35">
        <f t="shared" si="5"/>
        <v>1.148</v>
      </c>
      <c r="I22" s="39">
        <f t="shared" si="5"/>
        <v>0.798</v>
      </c>
      <c r="M22" s="13"/>
      <c r="N22" s="13"/>
    </row>
    <row r="23">
      <c r="B23" s="28"/>
      <c r="C23" s="32"/>
      <c r="D23" s="30" t="s">
        <v>22</v>
      </c>
      <c r="E23" s="35">
        <f t="shared" ref="E23:I23" si="6">E20/2</f>
        <v>2.5</v>
      </c>
      <c r="F23" s="35">
        <f t="shared" si="6"/>
        <v>2.419</v>
      </c>
      <c r="G23" s="35">
        <f t="shared" si="6"/>
        <v>2.285</v>
      </c>
      <c r="H23" s="35">
        <f t="shared" si="6"/>
        <v>1.742</v>
      </c>
      <c r="I23" s="39">
        <f t="shared" si="6"/>
        <v>1.24</v>
      </c>
      <c r="M23" s="13"/>
      <c r="N23" s="13"/>
    </row>
    <row r="24">
      <c r="B24" s="28"/>
      <c r="C24" s="34" t="s">
        <v>28</v>
      </c>
      <c r="D24" s="30" t="s">
        <v>18</v>
      </c>
      <c r="E24" s="40">
        <v>718.0</v>
      </c>
      <c r="F24" s="40">
        <v>487.0</v>
      </c>
      <c r="G24" s="40">
        <v>379.0</v>
      </c>
      <c r="H24" s="40">
        <v>286.0</v>
      </c>
      <c r="I24" s="41">
        <v>228.0</v>
      </c>
      <c r="M24" s="13"/>
      <c r="N24" s="13"/>
    </row>
    <row r="25">
      <c r="B25" s="28"/>
      <c r="C25" s="29"/>
      <c r="D25" s="30" t="s">
        <v>19</v>
      </c>
      <c r="E25" s="40">
        <v>85.0</v>
      </c>
      <c r="F25" s="40">
        <v>619.0</v>
      </c>
      <c r="G25" s="40">
        <v>322.0</v>
      </c>
      <c r="H25" s="40">
        <v>100.0</v>
      </c>
      <c r="I25" s="41">
        <v>93.0</v>
      </c>
      <c r="M25" s="13"/>
      <c r="N25" s="13"/>
    </row>
    <row r="26">
      <c r="B26" s="42"/>
      <c r="C26" s="43"/>
      <c r="D26" s="44" t="s">
        <v>22</v>
      </c>
      <c r="E26" s="45">
        <v>831.0</v>
      </c>
      <c r="F26" s="45">
        <v>578.0</v>
      </c>
      <c r="G26" s="45">
        <v>461.0</v>
      </c>
      <c r="H26" s="45">
        <v>184.0</v>
      </c>
      <c r="I26" s="46">
        <v>134.0</v>
      </c>
    </row>
    <row r="27">
      <c r="B27" s="23" t="s">
        <v>29</v>
      </c>
      <c r="C27" s="24" t="s">
        <v>17</v>
      </c>
      <c r="D27" s="25" t="s">
        <v>18</v>
      </c>
      <c r="E27" s="26">
        <f>2.4</f>
        <v>2.4</v>
      </c>
      <c r="F27" s="26">
        <v>7.6</v>
      </c>
      <c r="G27" s="26">
        <v>14.0</v>
      </c>
      <c r="H27" s="26">
        <v>24.4</v>
      </c>
      <c r="I27" s="27">
        <v>32.6</v>
      </c>
      <c r="M27" s="9"/>
      <c r="N27" s="9"/>
    </row>
    <row r="28">
      <c r="B28" s="28"/>
      <c r="C28" s="29"/>
      <c r="D28" s="30" t="s">
        <v>19</v>
      </c>
      <c r="E28" s="37">
        <v>1.8</v>
      </c>
      <c r="F28" s="37">
        <v>5.8</v>
      </c>
      <c r="G28" s="37">
        <v>10.8</v>
      </c>
      <c r="H28" s="37">
        <v>19.2</v>
      </c>
      <c r="I28" s="38">
        <v>19.4</v>
      </c>
      <c r="M28" s="9"/>
      <c r="N28" s="9"/>
    </row>
    <row r="29">
      <c r="B29" s="28"/>
      <c r="C29" s="32"/>
      <c r="D29" s="30" t="s">
        <v>22</v>
      </c>
      <c r="E29" s="37">
        <v>2.2</v>
      </c>
      <c r="F29" s="37">
        <v>7.2</v>
      </c>
      <c r="G29" s="37">
        <v>13.0</v>
      </c>
      <c r="H29" s="37">
        <v>22.6</v>
      </c>
      <c r="I29" s="38">
        <v>30.2</v>
      </c>
      <c r="M29" s="9"/>
      <c r="N29" s="9"/>
    </row>
    <row r="30">
      <c r="B30" s="28"/>
      <c r="C30" s="34" t="s">
        <v>23</v>
      </c>
      <c r="D30" s="30" t="s">
        <v>18</v>
      </c>
      <c r="E30" s="35">
        <f t="shared" ref="E30:I30" si="7">E27/2</f>
        <v>1.2</v>
      </c>
      <c r="F30" s="35">
        <f t="shared" si="7"/>
        <v>3.8</v>
      </c>
      <c r="G30" s="35">
        <f t="shared" si="7"/>
        <v>7</v>
      </c>
      <c r="H30" s="35">
        <f t="shared" si="7"/>
        <v>12.2</v>
      </c>
      <c r="I30" s="39">
        <f t="shared" si="7"/>
        <v>16.3</v>
      </c>
      <c r="M30" s="9"/>
      <c r="N30" s="9"/>
    </row>
    <row r="31">
      <c r="B31" s="28"/>
      <c r="C31" s="29"/>
      <c r="D31" s="30" t="s">
        <v>19</v>
      </c>
      <c r="E31" s="35">
        <f t="shared" ref="E31:I31" si="8">E28/2</f>
        <v>0.9</v>
      </c>
      <c r="F31" s="35">
        <f t="shared" si="8"/>
        <v>2.9</v>
      </c>
      <c r="G31" s="35">
        <f t="shared" si="8"/>
        <v>5.4</v>
      </c>
      <c r="H31" s="35">
        <f t="shared" si="8"/>
        <v>9.6</v>
      </c>
      <c r="I31" s="39">
        <f t="shared" si="8"/>
        <v>9.7</v>
      </c>
      <c r="M31" s="13"/>
      <c r="N31" s="13"/>
    </row>
    <row r="32">
      <c r="B32" s="28"/>
      <c r="C32" s="32"/>
      <c r="D32" s="30" t="s">
        <v>22</v>
      </c>
      <c r="E32" s="35">
        <f t="shared" ref="E32:I32" si="9">E29/2</f>
        <v>1.1</v>
      </c>
      <c r="F32" s="35">
        <f t="shared" si="9"/>
        <v>3.6</v>
      </c>
      <c r="G32" s="35">
        <f t="shared" si="9"/>
        <v>6.5</v>
      </c>
      <c r="H32" s="35">
        <f t="shared" si="9"/>
        <v>11.3</v>
      </c>
      <c r="I32" s="39">
        <f t="shared" si="9"/>
        <v>15.1</v>
      </c>
      <c r="M32" s="13"/>
      <c r="N32" s="13"/>
    </row>
    <row r="33">
      <c r="B33" s="28"/>
      <c r="C33" s="34" t="s">
        <v>26</v>
      </c>
      <c r="D33" s="30" t="s">
        <v>18</v>
      </c>
      <c r="E33" s="37">
        <f>1.787*2</f>
        <v>3.574</v>
      </c>
      <c r="F33" s="36">
        <f>1.743*2</f>
        <v>3.486</v>
      </c>
      <c r="G33" s="37">
        <f>1.652*2</f>
        <v>3.304</v>
      </c>
      <c r="H33" s="36">
        <f>1.458*2</f>
        <v>2.916</v>
      </c>
      <c r="I33" s="38">
        <f>1.34*2</f>
        <v>2.68</v>
      </c>
      <c r="M33" s="13"/>
      <c r="N33" s="13"/>
    </row>
    <row r="34">
      <c r="B34" s="28"/>
      <c r="C34" s="29"/>
      <c r="D34" s="30" t="s">
        <v>19</v>
      </c>
      <c r="E34" s="37">
        <f>1.351*2</f>
        <v>2.702</v>
      </c>
      <c r="F34" s="37">
        <f>1.322*2</f>
        <v>2.644</v>
      </c>
      <c r="G34" s="37">
        <f>1.264*2</f>
        <v>2.528</v>
      </c>
      <c r="H34" s="37">
        <f>1.145*2</f>
        <v>2.29</v>
      </c>
      <c r="I34" s="38">
        <f>0.798*2</f>
        <v>1.596</v>
      </c>
      <c r="M34" s="13"/>
      <c r="N34" s="13"/>
    </row>
    <row r="35">
      <c r="B35" s="28"/>
      <c r="C35" s="32"/>
      <c r="D35" s="30" t="s">
        <v>22</v>
      </c>
      <c r="E35" s="37">
        <f> 1.671*2</f>
        <v>3.342</v>
      </c>
      <c r="F35" s="37">
        <f> 1.61*2</f>
        <v>3.22</v>
      </c>
      <c r="G35" s="37">
        <f>1.53 *2</f>
        <v>3.06</v>
      </c>
      <c r="H35" s="37">
        <f>1.347*2</f>
        <v>2.694</v>
      </c>
      <c r="I35" s="38">
        <f>1.241*2</f>
        <v>2.482</v>
      </c>
      <c r="M35" s="13"/>
      <c r="N35" s="13"/>
    </row>
    <row r="36">
      <c r="B36" s="28"/>
      <c r="C36" s="34" t="s">
        <v>27</v>
      </c>
      <c r="D36" s="30" t="s">
        <v>18</v>
      </c>
      <c r="E36" s="35">
        <f t="shared" ref="E36:I36" si="10">E33/2</f>
        <v>1.787</v>
      </c>
      <c r="F36" s="35">
        <f t="shared" si="10"/>
        <v>1.743</v>
      </c>
      <c r="G36" s="35">
        <f t="shared" si="10"/>
        <v>1.652</v>
      </c>
      <c r="H36" s="35">
        <f t="shared" si="10"/>
        <v>1.458</v>
      </c>
      <c r="I36" s="39">
        <f t="shared" si="10"/>
        <v>1.34</v>
      </c>
      <c r="M36" s="13"/>
      <c r="N36" s="13"/>
    </row>
    <row r="37">
      <c r="B37" s="28"/>
      <c r="C37" s="29"/>
      <c r="D37" s="30" t="s">
        <v>19</v>
      </c>
      <c r="E37" s="35">
        <f t="shared" ref="E37:I37" si="11">E34/2</f>
        <v>1.351</v>
      </c>
      <c r="F37" s="35">
        <f t="shared" si="11"/>
        <v>1.322</v>
      </c>
      <c r="G37" s="35">
        <f t="shared" si="11"/>
        <v>1.264</v>
      </c>
      <c r="H37" s="35">
        <f t="shared" si="11"/>
        <v>1.145</v>
      </c>
      <c r="I37" s="39">
        <f t="shared" si="11"/>
        <v>0.798</v>
      </c>
      <c r="M37" s="13"/>
      <c r="N37" s="13"/>
    </row>
    <row r="38">
      <c r="B38" s="28"/>
      <c r="C38" s="32"/>
      <c r="D38" s="30" t="s">
        <v>22</v>
      </c>
      <c r="E38" s="35">
        <f t="shared" ref="E38:I38" si="12">E35/2</f>
        <v>1.671</v>
      </c>
      <c r="F38" s="35">
        <f t="shared" si="12"/>
        <v>1.61</v>
      </c>
      <c r="G38" s="35">
        <f t="shared" si="12"/>
        <v>1.53</v>
      </c>
      <c r="H38" s="35">
        <f t="shared" si="12"/>
        <v>1.347</v>
      </c>
      <c r="I38" s="39">
        <f t="shared" si="12"/>
        <v>1.241</v>
      </c>
      <c r="M38" s="13"/>
      <c r="N38" s="13"/>
    </row>
    <row r="39">
      <c r="B39" s="28"/>
      <c r="C39" s="34" t="s">
        <v>28</v>
      </c>
      <c r="D39" s="30" t="s">
        <v>18</v>
      </c>
      <c r="E39" s="40">
        <v>323.0</v>
      </c>
      <c r="F39" s="40">
        <v>292.0</v>
      </c>
      <c r="G39" s="40">
        <v>256.0</v>
      </c>
      <c r="H39" s="40">
        <v>218.0</v>
      </c>
      <c r="I39" s="41">
        <v>242.0</v>
      </c>
      <c r="M39" s="13"/>
      <c r="N39" s="13"/>
    </row>
    <row r="40">
      <c r="B40" s="28"/>
      <c r="C40" s="29"/>
      <c r="D40" s="30" t="s">
        <v>19</v>
      </c>
      <c r="E40" s="40">
        <v>727.0</v>
      </c>
      <c r="F40" s="40">
        <v>631.0</v>
      </c>
      <c r="G40" s="40">
        <v>403.0</v>
      </c>
      <c r="H40" s="40">
        <v>172.0</v>
      </c>
      <c r="I40" s="41">
        <v>115.0</v>
      </c>
      <c r="M40" s="13"/>
      <c r="N40" s="13"/>
    </row>
    <row r="41">
      <c r="B41" s="42"/>
      <c r="C41" s="43"/>
      <c r="D41" s="44" t="s">
        <v>22</v>
      </c>
      <c r="E41" s="45">
        <v>211.0</v>
      </c>
      <c r="F41" s="45">
        <v>194.0</v>
      </c>
      <c r="G41" s="45">
        <v>204.0</v>
      </c>
      <c r="H41" s="45">
        <v>226.0</v>
      </c>
      <c r="I41" s="46">
        <v>260.0</v>
      </c>
    </row>
    <row r="59">
      <c r="H59" s="4"/>
      <c r="I59" s="4"/>
      <c r="J59" s="4"/>
      <c r="K59" s="4"/>
      <c r="L59" s="5"/>
    </row>
    <row r="60">
      <c r="H60" s="4"/>
      <c r="I60" s="4"/>
      <c r="J60" s="4"/>
      <c r="K60" s="4"/>
      <c r="L60" s="5"/>
    </row>
    <row r="61">
      <c r="H61" s="4"/>
      <c r="I61" s="4"/>
      <c r="J61" s="4"/>
      <c r="K61" s="4"/>
      <c r="L61" s="5"/>
    </row>
    <row r="62">
      <c r="H62" s="4"/>
      <c r="I62" s="4"/>
      <c r="J62" s="4"/>
      <c r="K62" s="4"/>
      <c r="L62" s="5"/>
    </row>
    <row r="63">
      <c r="H63" s="4"/>
      <c r="I63" s="4"/>
      <c r="J63" s="4"/>
      <c r="K63" s="4"/>
      <c r="L63" s="5"/>
    </row>
    <row r="64">
      <c r="H64" s="4"/>
      <c r="I64" s="4"/>
      <c r="J64" s="4"/>
      <c r="K64" s="4"/>
      <c r="L64" s="5"/>
    </row>
    <row r="65">
      <c r="H65" s="4"/>
      <c r="I65" s="4"/>
      <c r="J65" s="4"/>
      <c r="K65" s="4"/>
      <c r="L65" s="5"/>
    </row>
    <row r="66">
      <c r="H66" s="4"/>
      <c r="I66" s="4"/>
      <c r="J66" s="4"/>
      <c r="K66" s="4"/>
      <c r="L66" s="5"/>
    </row>
    <row r="67">
      <c r="H67" s="4"/>
      <c r="I67" s="4"/>
      <c r="J67" s="4"/>
      <c r="K67" s="4"/>
      <c r="L67" s="5"/>
    </row>
    <row r="68">
      <c r="H68" s="4"/>
      <c r="I68" s="4"/>
      <c r="J68" s="4"/>
      <c r="K68" s="4"/>
      <c r="L68" s="5"/>
    </row>
    <row r="69">
      <c r="H69" s="4"/>
      <c r="I69" s="4"/>
      <c r="J69" s="4"/>
      <c r="K69" s="4"/>
      <c r="L69" s="5"/>
    </row>
    <row r="70">
      <c r="H70" s="4"/>
      <c r="I70" s="4"/>
      <c r="J70" s="4"/>
      <c r="K70" s="4"/>
      <c r="L70" s="5"/>
    </row>
    <row r="71">
      <c r="H71" s="4"/>
      <c r="I71" s="4"/>
      <c r="J71" s="4"/>
      <c r="K71" s="4"/>
      <c r="L71" s="5"/>
    </row>
    <row r="72">
      <c r="H72" s="4"/>
      <c r="I72" s="4"/>
      <c r="J72" s="4"/>
      <c r="K72" s="4"/>
      <c r="L72" s="5"/>
    </row>
    <row r="73">
      <c r="H73" s="4"/>
      <c r="I73" s="4"/>
      <c r="J73" s="4"/>
      <c r="K73" s="4"/>
      <c r="L73" s="5"/>
    </row>
    <row r="74">
      <c r="H74" s="4"/>
      <c r="I74" s="4"/>
      <c r="J74" s="4"/>
      <c r="K74" s="4"/>
      <c r="L74" s="5"/>
    </row>
    <row r="75">
      <c r="H75" s="4"/>
      <c r="I75" s="4"/>
      <c r="J75" s="4"/>
      <c r="K75" s="4"/>
      <c r="L75" s="5"/>
    </row>
    <row r="76">
      <c r="H76" s="4"/>
      <c r="I76" s="4"/>
      <c r="J76" s="4"/>
      <c r="K76" s="4"/>
      <c r="L76" s="5"/>
    </row>
    <row r="77">
      <c r="H77" s="4"/>
      <c r="I77" s="4"/>
      <c r="J77" s="4"/>
      <c r="K77" s="4"/>
      <c r="L77" s="5"/>
    </row>
    <row r="78">
      <c r="H78" s="4"/>
      <c r="I78" s="4"/>
      <c r="J78" s="4"/>
      <c r="K78" s="4"/>
      <c r="L78" s="5"/>
    </row>
    <row r="79">
      <c r="H79" s="4"/>
      <c r="I79" s="4"/>
      <c r="J79" s="4"/>
      <c r="K79" s="4"/>
      <c r="L79" s="5"/>
    </row>
    <row r="80">
      <c r="H80" s="4"/>
      <c r="I80" s="4"/>
      <c r="J80" s="4"/>
      <c r="K80" s="4"/>
      <c r="L80" s="5"/>
    </row>
    <row r="81">
      <c r="H81" s="4"/>
      <c r="I81" s="4"/>
      <c r="J81" s="4"/>
      <c r="K81" s="4"/>
      <c r="L81" s="5"/>
    </row>
    <row r="82">
      <c r="H82" s="4"/>
      <c r="I82" s="4"/>
      <c r="J82" s="4"/>
      <c r="K82" s="4"/>
      <c r="L82" s="5"/>
    </row>
    <row r="83">
      <c r="H83" s="4"/>
      <c r="I83" s="4"/>
      <c r="J83" s="4"/>
      <c r="K83" s="4"/>
      <c r="L83" s="5"/>
    </row>
    <row r="84">
      <c r="H84" s="4"/>
      <c r="I84" s="4"/>
      <c r="J84" s="4"/>
      <c r="K84" s="4"/>
      <c r="L84" s="5"/>
    </row>
    <row r="85">
      <c r="H85" s="4"/>
      <c r="I85" s="4"/>
      <c r="J85" s="4"/>
      <c r="K85" s="4"/>
      <c r="L85" s="5"/>
    </row>
    <row r="86">
      <c r="H86" s="4"/>
      <c r="I86" s="4"/>
      <c r="J86" s="4"/>
      <c r="K86" s="4"/>
      <c r="L86" s="5"/>
    </row>
    <row r="87">
      <c r="H87" s="4"/>
      <c r="I87" s="4"/>
      <c r="J87" s="4"/>
      <c r="K87" s="4"/>
      <c r="L87" s="5"/>
    </row>
    <row r="88">
      <c r="H88" s="4"/>
      <c r="I88" s="4"/>
      <c r="J88" s="4"/>
      <c r="K88" s="4"/>
      <c r="L88" s="5"/>
    </row>
    <row r="89">
      <c r="H89" s="4"/>
      <c r="I89" s="4"/>
      <c r="J89" s="4"/>
      <c r="K89" s="4"/>
      <c r="L89" s="5"/>
    </row>
    <row r="90">
      <c r="H90" s="4"/>
      <c r="I90" s="4"/>
      <c r="J90" s="4"/>
      <c r="K90" s="4"/>
      <c r="L90" s="5"/>
    </row>
    <row r="91">
      <c r="H91" s="4"/>
      <c r="I91" s="4"/>
      <c r="J91" s="4"/>
      <c r="K91" s="4"/>
      <c r="L91" s="5"/>
    </row>
    <row r="92">
      <c r="H92" s="4"/>
      <c r="I92" s="4"/>
      <c r="J92" s="4"/>
      <c r="K92" s="4"/>
      <c r="L92" s="5"/>
    </row>
    <row r="93">
      <c r="H93" s="4"/>
      <c r="I93" s="4"/>
      <c r="J93" s="4"/>
      <c r="K93" s="4"/>
      <c r="L93" s="5"/>
    </row>
    <row r="94">
      <c r="H94" s="4"/>
      <c r="I94" s="4"/>
      <c r="J94" s="4"/>
      <c r="K94" s="4"/>
      <c r="L94" s="5"/>
    </row>
    <row r="95">
      <c r="H95" s="4"/>
      <c r="I95" s="4"/>
      <c r="J95" s="4"/>
      <c r="K95" s="4"/>
      <c r="L95" s="5"/>
    </row>
    <row r="96">
      <c r="H96" s="4"/>
      <c r="I96" s="4"/>
      <c r="J96" s="4"/>
      <c r="K96" s="4"/>
      <c r="L96" s="5"/>
    </row>
    <row r="97">
      <c r="H97" s="4"/>
      <c r="I97" s="4"/>
      <c r="J97" s="4"/>
      <c r="K97" s="4"/>
      <c r="L97" s="5"/>
    </row>
    <row r="98">
      <c r="H98" s="4"/>
      <c r="I98" s="4"/>
      <c r="J98" s="4"/>
      <c r="K98" s="4"/>
      <c r="L98" s="5"/>
    </row>
    <row r="99">
      <c r="H99" s="4"/>
      <c r="I99" s="4"/>
      <c r="J99" s="4"/>
      <c r="K99" s="4"/>
      <c r="L99" s="5"/>
    </row>
    <row r="100">
      <c r="H100" s="4"/>
      <c r="I100" s="4"/>
      <c r="J100" s="4"/>
      <c r="K100" s="4"/>
      <c r="L100" s="5"/>
    </row>
    <row r="101">
      <c r="H101" s="4"/>
      <c r="I101" s="4"/>
      <c r="J101" s="4"/>
      <c r="K101" s="4"/>
      <c r="L101" s="5"/>
    </row>
    <row r="102">
      <c r="H102" s="4"/>
      <c r="I102" s="4"/>
      <c r="J102" s="4"/>
      <c r="K102" s="4"/>
      <c r="L102" s="5"/>
    </row>
    <row r="103">
      <c r="H103" s="4"/>
      <c r="I103" s="4"/>
      <c r="J103" s="4"/>
      <c r="K103" s="4"/>
      <c r="L103" s="5"/>
    </row>
    <row r="104">
      <c r="H104" s="4"/>
      <c r="I104" s="4"/>
      <c r="J104" s="4"/>
      <c r="K104" s="4"/>
      <c r="L104" s="5"/>
    </row>
    <row r="105">
      <c r="H105" s="4"/>
      <c r="I105" s="4"/>
      <c r="J105" s="4"/>
      <c r="K105" s="4"/>
      <c r="L105" s="5"/>
    </row>
    <row r="106">
      <c r="H106" s="4"/>
      <c r="I106" s="4"/>
      <c r="J106" s="4"/>
      <c r="K106" s="4"/>
      <c r="L106" s="5"/>
    </row>
    <row r="107">
      <c r="H107" s="4"/>
      <c r="I107" s="4"/>
      <c r="J107" s="4"/>
      <c r="K107" s="4"/>
      <c r="L107" s="5"/>
    </row>
    <row r="108">
      <c r="H108" s="4"/>
      <c r="I108" s="4"/>
      <c r="J108" s="4"/>
      <c r="K108" s="4"/>
      <c r="L108" s="5"/>
    </row>
    <row r="109">
      <c r="H109" s="4"/>
      <c r="I109" s="4"/>
      <c r="J109" s="4"/>
      <c r="K109" s="4"/>
      <c r="L109" s="5"/>
    </row>
    <row r="110">
      <c r="H110" s="4"/>
      <c r="I110" s="4"/>
      <c r="J110" s="4"/>
      <c r="K110" s="4"/>
      <c r="L110" s="5"/>
    </row>
    <row r="111">
      <c r="H111" s="4"/>
      <c r="I111" s="4"/>
      <c r="J111" s="4"/>
      <c r="K111" s="4"/>
      <c r="L111" s="5"/>
    </row>
    <row r="112">
      <c r="H112" s="4"/>
      <c r="I112" s="4"/>
      <c r="J112" s="4"/>
      <c r="K112" s="4"/>
      <c r="L112" s="5"/>
    </row>
    <row r="113">
      <c r="H113" s="4"/>
      <c r="I113" s="4"/>
      <c r="J113" s="4"/>
      <c r="K113" s="4"/>
      <c r="L113" s="5"/>
    </row>
    <row r="114">
      <c r="H114" s="4"/>
      <c r="I114" s="4"/>
      <c r="J114" s="4"/>
      <c r="K114" s="4"/>
      <c r="L114" s="5"/>
    </row>
    <row r="115">
      <c r="H115" s="4"/>
      <c r="I115" s="4"/>
      <c r="J115" s="4"/>
      <c r="K115" s="4"/>
      <c r="L115" s="5"/>
    </row>
    <row r="116">
      <c r="H116" s="4"/>
      <c r="I116" s="4"/>
      <c r="J116" s="4"/>
      <c r="K116" s="4"/>
      <c r="L116" s="5"/>
    </row>
    <row r="117">
      <c r="H117" s="4"/>
      <c r="I117" s="4"/>
      <c r="J117" s="4"/>
      <c r="K117" s="4"/>
      <c r="L117" s="5"/>
    </row>
    <row r="118">
      <c r="H118" s="4"/>
      <c r="I118" s="4"/>
      <c r="J118" s="4"/>
      <c r="K118" s="4"/>
      <c r="L118" s="5"/>
    </row>
    <row r="119">
      <c r="H119" s="4"/>
      <c r="I119" s="4"/>
      <c r="J119" s="4"/>
      <c r="K119" s="4"/>
      <c r="L119" s="5"/>
    </row>
    <row r="120">
      <c r="H120" s="4"/>
      <c r="I120" s="4"/>
      <c r="J120" s="4"/>
      <c r="K120" s="4"/>
      <c r="L120" s="5"/>
    </row>
    <row r="121">
      <c r="H121" s="4"/>
      <c r="I121" s="4"/>
      <c r="J121" s="4"/>
      <c r="K121" s="4"/>
      <c r="L121" s="5"/>
    </row>
    <row r="122">
      <c r="H122" s="4"/>
      <c r="I122" s="4"/>
      <c r="J122" s="4"/>
      <c r="K122" s="4"/>
      <c r="L122" s="5"/>
    </row>
    <row r="123">
      <c r="H123" s="4"/>
      <c r="I123" s="4"/>
      <c r="J123" s="4"/>
      <c r="K123" s="4"/>
      <c r="L123" s="5"/>
    </row>
    <row r="124">
      <c r="H124" s="4"/>
      <c r="I124" s="4"/>
      <c r="J124" s="4"/>
      <c r="K124" s="4"/>
      <c r="L124" s="5"/>
    </row>
    <row r="125">
      <c r="H125" s="4"/>
      <c r="I125" s="4"/>
      <c r="J125" s="4"/>
      <c r="K125" s="4"/>
      <c r="L125" s="5"/>
    </row>
    <row r="126">
      <c r="H126" s="4"/>
      <c r="I126" s="4"/>
      <c r="J126" s="4"/>
      <c r="K126" s="4"/>
      <c r="L126" s="5"/>
    </row>
    <row r="127">
      <c r="H127" s="4"/>
      <c r="I127" s="4"/>
      <c r="J127" s="4"/>
      <c r="K127" s="4"/>
      <c r="L127" s="5"/>
    </row>
    <row r="128">
      <c r="H128" s="4"/>
      <c r="I128" s="4"/>
      <c r="J128" s="4"/>
      <c r="K128" s="4"/>
      <c r="L128" s="5"/>
    </row>
    <row r="129">
      <c r="H129" s="4"/>
      <c r="I129" s="4"/>
      <c r="J129" s="4"/>
      <c r="K129" s="4"/>
      <c r="L129" s="5"/>
    </row>
    <row r="130">
      <c r="H130" s="4"/>
      <c r="I130" s="4"/>
      <c r="J130" s="4"/>
      <c r="K130" s="4"/>
      <c r="L130" s="5"/>
    </row>
    <row r="131">
      <c r="H131" s="4"/>
      <c r="I131" s="4"/>
      <c r="J131" s="4"/>
      <c r="K131" s="4"/>
      <c r="L131" s="5"/>
    </row>
    <row r="132">
      <c r="H132" s="4"/>
      <c r="I132" s="4"/>
      <c r="J132" s="4"/>
      <c r="K132" s="4"/>
      <c r="L132" s="5"/>
    </row>
    <row r="133">
      <c r="H133" s="4"/>
      <c r="I133" s="4"/>
      <c r="J133" s="4"/>
      <c r="K133" s="4"/>
      <c r="L133" s="5"/>
    </row>
    <row r="134">
      <c r="H134" s="4"/>
      <c r="I134" s="4"/>
      <c r="J134" s="4"/>
      <c r="K134" s="4"/>
      <c r="L134" s="5"/>
    </row>
    <row r="135">
      <c r="H135" s="4"/>
      <c r="I135" s="4"/>
      <c r="J135" s="4"/>
      <c r="K135" s="4"/>
      <c r="L135" s="5"/>
    </row>
    <row r="136">
      <c r="H136" s="4"/>
      <c r="I136" s="4"/>
      <c r="J136" s="4"/>
      <c r="K136" s="4"/>
      <c r="L136" s="5"/>
    </row>
    <row r="137">
      <c r="H137" s="4"/>
      <c r="I137" s="4"/>
      <c r="J137" s="4"/>
      <c r="K137" s="4"/>
      <c r="L137" s="5"/>
    </row>
    <row r="138">
      <c r="H138" s="4"/>
      <c r="I138" s="4"/>
      <c r="J138" s="4"/>
      <c r="K138" s="4"/>
      <c r="L138" s="5"/>
    </row>
    <row r="139">
      <c r="H139" s="4"/>
      <c r="I139" s="4"/>
      <c r="J139" s="4"/>
      <c r="K139" s="4"/>
      <c r="L139" s="5"/>
    </row>
    <row r="140">
      <c r="H140" s="4"/>
      <c r="I140" s="4"/>
      <c r="J140" s="4"/>
      <c r="K140" s="4"/>
      <c r="L140" s="5"/>
    </row>
    <row r="141">
      <c r="H141" s="4"/>
      <c r="I141" s="4"/>
      <c r="J141" s="4"/>
      <c r="K141" s="4"/>
      <c r="L141" s="5"/>
    </row>
    <row r="142">
      <c r="H142" s="4"/>
      <c r="I142" s="4"/>
      <c r="J142" s="4"/>
      <c r="K142" s="4"/>
      <c r="L142" s="5"/>
    </row>
    <row r="143">
      <c r="H143" s="4"/>
      <c r="I143" s="4"/>
      <c r="J143" s="4"/>
      <c r="K143" s="4"/>
      <c r="L143" s="5"/>
    </row>
  </sheetData>
  <mergeCells count="21">
    <mergeCell ref="C10:C11"/>
    <mergeCell ref="E10:I10"/>
    <mergeCell ref="B10:B11"/>
    <mergeCell ref="C12:C14"/>
    <mergeCell ref="C15:C17"/>
    <mergeCell ref="C18:C20"/>
    <mergeCell ref="C21:C23"/>
    <mergeCell ref="C24:C26"/>
    <mergeCell ref="B27:B41"/>
    <mergeCell ref="C27:C29"/>
    <mergeCell ref="C30:C32"/>
    <mergeCell ref="C33:C35"/>
    <mergeCell ref="C36:C38"/>
    <mergeCell ref="C39:C41"/>
    <mergeCell ref="A2:C2"/>
    <mergeCell ref="A3:B3"/>
    <mergeCell ref="A4:B4"/>
    <mergeCell ref="A5:B5"/>
    <mergeCell ref="A6:B6"/>
    <mergeCell ref="A7:B7"/>
    <mergeCell ref="B12:B26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3" max="3" width="22.57"/>
    <col customWidth="1" min="5" max="5" width="8.71"/>
    <col customWidth="1" min="6" max="6" width="12.14"/>
    <col customWidth="1" min="7" max="7" width="11.86"/>
    <col customWidth="1" min="8" max="8" width="10.0"/>
    <col customWidth="1" min="9" max="9" width="10.57"/>
    <col customWidth="1" min="10" max="10" width="8.29"/>
    <col customWidth="1" min="11" max="11" width="8.71"/>
  </cols>
  <sheetData>
    <row r="1">
      <c r="A1" s="1" t="s">
        <v>0</v>
      </c>
      <c r="B1" s="2">
        <v>2003.0</v>
      </c>
    </row>
    <row r="2">
      <c r="A2" s="6" t="s">
        <v>1</v>
      </c>
      <c r="B2" s="7"/>
      <c r="C2" s="8"/>
    </row>
    <row r="3">
      <c r="A3" s="10" t="s">
        <v>2</v>
      </c>
      <c r="B3" s="8"/>
      <c r="C3" s="11" t="s">
        <v>56</v>
      </c>
      <c r="D3" s="14">
        <v>4.0</v>
      </c>
    </row>
    <row r="4">
      <c r="A4" s="10" t="s">
        <v>4</v>
      </c>
      <c r="B4" s="8"/>
      <c r="C4" s="12">
        <v>1.0E-5</v>
      </c>
    </row>
    <row r="5">
      <c r="A5" s="10" t="s">
        <v>5</v>
      </c>
      <c r="B5" s="8"/>
      <c r="C5" s="149" t="s">
        <v>20</v>
      </c>
    </row>
    <row r="6">
      <c r="A6" s="10" t="s">
        <v>7</v>
      </c>
      <c r="B6" s="8"/>
      <c r="C6" s="149" t="s">
        <v>21</v>
      </c>
    </row>
    <row r="7">
      <c r="A7" s="10" t="s">
        <v>9</v>
      </c>
      <c r="B7" s="8"/>
      <c r="C7" s="11" t="s">
        <v>10</v>
      </c>
    </row>
    <row r="10">
      <c r="A10" s="15"/>
      <c r="B10" s="15"/>
      <c r="C10" s="150" t="s">
        <v>12</v>
      </c>
      <c r="D10" s="151" t="s">
        <v>14</v>
      </c>
      <c r="E10" s="151" t="s">
        <v>99</v>
      </c>
      <c r="F10" s="151" t="s">
        <v>100</v>
      </c>
      <c r="G10" s="151" t="s">
        <v>23</v>
      </c>
      <c r="H10" s="151" t="s">
        <v>101</v>
      </c>
      <c r="I10" s="151" t="s">
        <v>27</v>
      </c>
      <c r="J10" s="151" t="s">
        <v>28</v>
      </c>
      <c r="K10" s="152" t="s">
        <v>110</v>
      </c>
    </row>
    <row r="11">
      <c r="C11" s="153" t="s">
        <v>16</v>
      </c>
      <c r="D11" s="154" t="s">
        <v>18</v>
      </c>
      <c r="E11" s="155">
        <v>64.0</v>
      </c>
      <c r="F11" s="156" t="s">
        <v>135</v>
      </c>
      <c r="G11" s="157" t="str">
        <f t="shared" ref="G11:G25" si="1">F11/$D$3</f>
        <v>#VALUE!</v>
      </c>
      <c r="H11" s="155"/>
      <c r="I11" s="157">
        <f t="shared" ref="I11:I25" si="2">H11/$D$3*2</f>
        <v>0</v>
      </c>
      <c r="J11" s="155"/>
      <c r="K11" s="158"/>
    </row>
    <row r="12">
      <c r="C12" s="159"/>
      <c r="D12" s="28"/>
      <c r="E12" s="137">
        <v>256.0</v>
      </c>
      <c r="F12" s="160"/>
      <c r="G12" s="138">
        <f t="shared" si="1"/>
        <v>0</v>
      </c>
      <c r="H12" s="137"/>
      <c r="I12" s="138">
        <f t="shared" si="2"/>
        <v>0</v>
      </c>
      <c r="J12" s="137"/>
      <c r="K12" s="161"/>
    </row>
    <row r="13">
      <c r="C13" s="159"/>
      <c r="D13" s="28"/>
      <c r="E13" s="137">
        <v>512.0</v>
      </c>
      <c r="F13" s="160"/>
      <c r="G13" s="138">
        <f t="shared" si="1"/>
        <v>0</v>
      </c>
      <c r="H13" s="137"/>
      <c r="I13" s="138">
        <f t="shared" si="2"/>
        <v>0</v>
      </c>
      <c r="J13" s="137"/>
      <c r="K13" s="161"/>
    </row>
    <row r="14">
      <c r="C14" s="159"/>
      <c r="D14" s="28"/>
      <c r="E14" s="137">
        <v>1024.0</v>
      </c>
      <c r="F14" s="160"/>
      <c r="G14" s="138">
        <f t="shared" si="1"/>
        <v>0</v>
      </c>
      <c r="H14" s="137"/>
      <c r="I14" s="138">
        <f t="shared" si="2"/>
        <v>0</v>
      </c>
      <c r="J14" s="137"/>
      <c r="K14" s="161"/>
    </row>
    <row r="15">
      <c r="C15" s="159"/>
      <c r="D15" s="42"/>
      <c r="E15" s="162">
        <v>1500.0</v>
      </c>
      <c r="F15" s="163"/>
      <c r="G15" s="164">
        <f t="shared" si="1"/>
        <v>0</v>
      </c>
      <c r="H15" s="162"/>
      <c r="I15" s="164">
        <f t="shared" si="2"/>
        <v>0</v>
      </c>
      <c r="J15" s="162"/>
      <c r="K15" s="165"/>
    </row>
    <row r="16">
      <c r="C16" s="159"/>
      <c r="D16" s="166" t="s">
        <v>19</v>
      </c>
      <c r="E16" s="167">
        <v>64.0</v>
      </c>
      <c r="F16" s="168"/>
      <c r="G16" s="157">
        <f t="shared" si="1"/>
        <v>0</v>
      </c>
      <c r="H16" s="168"/>
      <c r="I16" s="157">
        <f t="shared" si="2"/>
        <v>0</v>
      </c>
      <c r="J16" s="168"/>
      <c r="K16" s="169"/>
    </row>
    <row r="17">
      <c r="C17" s="159"/>
      <c r="D17" s="28"/>
      <c r="E17" s="30">
        <v>256.0</v>
      </c>
      <c r="F17" s="139"/>
      <c r="G17" s="138">
        <f t="shared" si="1"/>
        <v>0</v>
      </c>
      <c r="H17" s="139"/>
      <c r="I17" s="138">
        <f t="shared" si="2"/>
        <v>0</v>
      </c>
      <c r="J17" s="139"/>
      <c r="K17" s="170"/>
    </row>
    <row r="18">
      <c r="C18" s="159"/>
      <c r="D18" s="28"/>
      <c r="E18" s="30">
        <v>512.0</v>
      </c>
      <c r="F18" s="139"/>
      <c r="G18" s="138">
        <f t="shared" si="1"/>
        <v>0</v>
      </c>
      <c r="H18" s="139"/>
      <c r="I18" s="138">
        <f t="shared" si="2"/>
        <v>0</v>
      </c>
      <c r="J18" s="139"/>
      <c r="K18" s="170"/>
    </row>
    <row r="19">
      <c r="C19" s="159"/>
      <c r="D19" s="28"/>
      <c r="E19" s="30">
        <v>1024.0</v>
      </c>
      <c r="F19" s="139"/>
      <c r="G19" s="138">
        <f t="shared" si="1"/>
        <v>0</v>
      </c>
      <c r="H19" s="139"/>
      <c r="I19" s="138">
        <f t="shared" si="2"/>
        <v>0</v>
      </c>
      <c r="J19" s="139"/>
      <c r="K19" s="170"/>
    </row>
    <row r="20">
      <c r="C20" s="159"/>
      <c r="D20" s="42"/>
      <c r="E20" s="44">
        <v>1500.0</v>
      </c>
      <c r="F20" s="171"/>
      <c r="G20" s="164">
        <f t="shared" si="1"/>
        <v>0</v>
      </c>
      <c r="H20" s="171"/>
      <c r="I20" s="164">
        <f t="shared" si="2"/>
        <v>0</v>
      </c>
      <c r="J20" s="171"/>
      <c r="K20" s="172"/>
    </row>
    <row r="21">
      <c r="C21" s="159"/>
      <c r="D21" s="166" t="s">
        <v>22</v>
      </c>
      <c r="E21" s="167">
        <v>64.0</v>
      </c>
      <c r="F21" s="168"/>
      <c r="G21" s="157">
        <f t="shared" si="1"/>
        <v>0</v>
      </c>
      <c r="H21" s="168"/>
      <c r="I21" s="157">
        <f t="shared" si="2"/>
        <v>0</v>
      </c>
      <c r="J21" s="168"/>
      <c r="K21" s="169"/>
    </row>
    <row r="22">
      <c r="C22" s="159"/>
      <c r="D22" s="28"/>
      <c r="E22" s="30">
        <v>256.0</v>
      </c>
      <c r="F22" s="139"/>
      <c r="G22" s="138">
        <f t="shared" si="1"/>
        <v>0</v>
      </c>
      <c r="H22" s="139"/>
      <c r="I22" s="138">
        <f t="shared" si="2"/>
        <v>0</v>
      </c>
      <c r="J22" s="139"/>
      <c r="K22" s="170"/>
    </row>
    <row r="23">
      <c r="C23" s="159"/>
      <c r="D23" s="28"/>
      <c r="E23" s="30">
        <v>512.0</v>
      </c>
      <c r="F23" s="139"/>
      <c r="G23" s="138">
        <f t="shared" si="1"/>
        <v>0</v>
      </c>
      <c r="H23" s="139"/>
      <c r="I23" s="138">
        <f t="shared" si="2"/>
        <v>0</v>
      </c>
      <c r="J23" s="139"/>
      <c r="K23" s="170"/>
    </row>
    <row r="24">
      <c r="C24" s="159"/>
      <c r="D24" s="28"/>
      <c r="E24" s="30">
        <v>1024.0</v>
      </c>
      <c r="F24" s="139"/>
      <c r="G24" s="138">
        <f t="shared" si="1"/>
        <v>0</v>
      </c>
      <c r="H24" s="139"/>
      <c r="I24" s="138">
        <f t="shared" si="2"/>
        <v>0</v>
      </c>
      <c r="J24" s="139"/>
      <c r="K24" s="170"/>
    </row>
    <row r="25">
      <c r="C25" s="173"/>
      <c r="D25" s="42"/>
      <c r="E25" s="44">
        <v>1500.0</v>
      </c>
      <c r="F25" s="171"/>
      <c r="G25" s="164">
        <f t="shared" si="1"/>
        <v>0</v>
      </c>
      <c r="H25" s="171"/>
      <c r="I25" s="164">
        <f t="shared" si="2"/>
        <v>0</v>
      </c>
      <c r="J25" s="171"/>
      <c r="K25" s="172"/>
    </row>
    <row r="28">
      <c r="C28" s="150" t="s">
        <v>12</v>
      </c>
      <c r="D28" s="151" t="s">
        <v>14</v>
      </c>
      <c r="E28" s="151" t="s">
        <v>99</v>
      </c>
      <c r="F28" s="151" t="s">
        <v>100</v>
      </c>
      <c r="G28" s="151" t="s">
        <v>23</v>
      </c>
      <c r="H28" s="151" t="s">
        <v>101</v>
      </c>
      <c r="I28" s="151" t="s">
        <v>27</v>
      </c>
      <c r="J28" s="151" t="s">
        <v>28</v>
      </c>
      <c r="K28" s="152" t="s">
        <v>110</v>
      </c>
    </row>
    <row r="29">
      <c r="C29" s="153" t="s">
        <v>29</v>
      </c>
      <c r="D29" s="154" t="s">
        <v>18</v>
      </c>
      <c r="E29" s="155">
        <v>64.0</v>
      </c>
      <c r="F29" s="155"/>
      <c r="G29" s="157">
        <f t="shared" ref="G29:G43" si="3">F29/$D$3</f>
        <v>0</v>
      </c>
      <c r="H29" s="155"/>
      <c r="I29" s="157">
        <f t="shared" ref="I29:I43" si="4">H29/$D$3*2</f>
        <v>0</v>
      </c>
      <c r="J29" s="155"/>
      <c r="K29" s="158"/>
    </row>
    <row r="30">
      <c r="C30" s="159"/>
      <c r="D30" s="28"/>
      <c r="E30" s="137">
        <v>256.0</v>
      </c>
      <c r="F30" s="137"/>
      <c r="G30" s="138">
        <f t="shared" si="3"/>
        <v>0</v>
      </c>
      <c r="H30" s="137"/>
      <c r="I30" s="138">
        <f t="shared" si="4"/>
        <v>0</v>
      </c>
      <c r="J30" s="137"/>
      <c r="K30" s="161"/>
    </row>
    <row r="31">
      <c r="C31" s="159"/>
      <c r="D31" s="28"/>
      <c r="E31" s="137">
        <v>512.0</v>
      </c>
      <c r="F31" s="137"/>
      <c r="G31" s="138">
        <f t="shared" si="3"/>
        <v>0</v>
      </c>
      <c r="H31" s="137"/>
      <c r="I31" s="138">
        <f t="shared" si="4"/>
        <v>0</v>
      </c>
      <c r="J31" s="137"/>
      <c r="K31" s="161"/>
    </row>
    <row r="32">
      <c r="C32" s="159"/>
      <c r="D32" s="28"/>
      <c r="E32" s="137">
        <v>1024.0</v>
      </c>
      <c r="F32" s="137"/>
      <c r="G32" s="138">
        <f t="shared" si="3"/>
        <v>0</v>
      </c>
      <c r="H32" s="137"/>
      <c r="I32" s="138">
        <f t="shared" si="4"/>
        <v>0</v>
      </c>
      <c r="J32" s="137"/>
      <c r="K32" s="161"/>
    </row>
    <row r="33">
      <c r="C33" s="159"/>
      <c r="D33" s="42"/>
      <c r="E33" s="162">
        <v>1500.0</v>
      </c>
      <c r="F33" s="162"/>
      <c r="G33" s="164">
        <f t="shared" si="3"/>
        <v>0</v>
      </c>
      <c r="H33" s="162"/>
      <c r="I33" s="164">
        <f t="shared" si="4"/>
        <v>0</v>
      </c>
      <c r="J33" s="162"/>
      <c r="K33" s="165"/>
    </row>
    <row r="34">
      <c r="C34" s="159"/>
      <c r="D34" s="166" t="s">
        <v>19</v>
      </c>
      <c r="E34" s="167">
        <v>64.0</v>
      </c>
      <c r="F34" s="168"/>
      <c r="G34" s="157">
        <f t="shared" si="3"/>
        <v>0</v>
      </c>
      <c r="H34" s="168"/>
      <c r="I34" s="157">
        <f t="shared" si="4"/>
        <v>0</v>
      </c>
      <c r="J34" s="168"/>
      <c r="K34" s="169"/>
    </row>
    <row r="35">
      <c r="C35" s="159"/>
      <c r="D35" s="28"/>
      <c r="E35" s="30">
        <v>256.0</v>
      </c>
      <c r="F35" s="139"/>
      <c r="G35" s="138">
        <f t="shared" si="3"/>
        <v>0</v>
      </c>
      <c r="H35" s="139"/>
      <c r="I35" s="138">
        <f t="shared" si="4"/>
        <v>0</v>
      </c>
      <c r="J35" s="139"/>
      <c r="K35" s="170"/>
    </row>
    <row r="36">
      <c r="C36" s="159"/>
      <c r="D36" s="28"/>
      <c r="E36" s="30">
        <v>512.0</v>
      </c>
      <c r="F36" s="139"/>
      <c r="G36" s="138">
        <f t="shared" si="3"/>
        <v>0</v>
      </c>
      <c r="H36" s="139"/>
      <c r="I36" s="138">
        <f t="shared" si="4"/>
        <v>0</v>
      </c>
      <c r="J36" s="139"/>
      <c r="K36" s="170"/>
    </row>
    <row r="37">
      <c r="C37" s="159"/>
      <c r="D37" s="28"/>
      <c r="E37" s="30">
        <v>1024.0</v>
      </c>
      <c r="F37" s="139"/>
      <c r="G37" s="138">
        <f t="shared" si="3"/>
        <v>0</v>
      </c>
      <c r="H37" s="139"/>
      <c r="I37" s="138">
        <f t="shared" si="4"/>
        <v>0</v>
      </c>
      <c r="J37" s="139"/>
      <c r="K37" s="170"/>
    </row>
    <row r="38">
      <c r="C38" s="159"/>
      <c r="D38" s="42"/>
      <c r="E38" s="44">
        <v>1500.0</v>
      </c>
      <c r="F38" s="171"/>
      <c r="G38" s="164">
        <f t="shared" si="3"/>
        <v>0</v>
      </c>
      <c r="H38" s="171"/>
      <c r="I38" s="164">
        <f t="shared" si="4"/>
        <v>0</v>
      </c>
      <c r="J38" s="171"/>
      <c r="K38" s="172"/>
    </row>
    <row r="39">
      <c r="C39" s="159"/>
      <c r="D39" s="166" t="s">
        <v>22</v>
      </c>
      <c r="E39" s="167">
        <v>64.0</v>
      </c>
      <c r="F39" s="168"/>
      <c r="G39" s="157">
        <f t="shared" si="3"/>
        <v>0</v>
      </c>
      <c r="H39" s="168"/>
      <c r="I39" s="157">
        <f t="shared" si="4"/>
        <v>0</v>
      </c>
      <c r="J39" s="168"/>
      <c r="K39" s="169"/>
    </row>
    <row r="40">
      <c r="C40" s="159"/>
      <c r="D40" s="28"/>
      <c r="E40" s="30">
        <v>256.0</v>
      </c>
      <c r="F40" s="139"/>
      <c r="G40" s="138">
        <f t="shared" si="3"/>
        <v>0</v>
      </c>
      <c r="H40" s="139"/>
      <c r="I40" s="138">
        <f t="shared" si="4"/>
        <v>0</v>
      </c>
      <c r="J40" s="139"/>
      <c r="K40" s="170"/>
    </row>
    <row r="41">
      <c r="C41" s="159"/>
      <c r="D41" s="28"/>
      <c r="E41" s="30">
        <v>512.0</v>
      </c>
      <c r="F41" s="139"/>
      <c r="G41" s="138">
        <f t="shared" si="3"/>
        <v>0</v>
      </c>
      <c r="H41" s="139"/>
      <c r="I41" s="138">
        <f t="shared" si="4"/>
        <v>0</v>
      </c>
      <c r="J41" s="139"/>
      <c r="K41" s="170"/>
    </row>
    <row r="42">
      <c r="C42" s="159"/>
      <c r="D42" s="28"/>
      <c r="E42" s="30">
        <v>1024.0</v>
      </c>
      <c r="F42" s="139"/>
      <c r="G42" s="138">
        <f t="shared" si="3"/>
        <v>0</v>
      </c>
      <c r="H42" s="139"/>
      <c r="I42" s="138">
        <f t="shared" si="4"/>
        <v>0</v>
      </c>
      <c r="J42" s="139"/>
      <c r="K42" s="170"/>
    </row>
    <row r="43">
      <c r="C43" s="173"/>
      <c r="D43" s="42"/>
      <c r="E43" s="44">
        <v>1500.0</v>
      </c>
      <c r="F43" s="171"/>
      <c r="G43" s="164">
        <f t="shared" si="3"/>
        <v>0</v>
      </c>
      <c r="H43" s="171"/>
      <c r="I43" s="164">
        <f t="shared" si="4"/>
        <v>0</v>
      </c>
      <c r="J43" s="171"/>
      <c r="K43" s="172"/>
    </row>
  </sheetData>
  <mergeCells count="14">
    <mergeCell ref="D11:D15"/>
    <mergeCell ref="D16:D20"/>
    <mergeCell ref="D21:D25"/>
    <mergeCell ref="C29:C43"/>
    <mergeCell ref="D29:D33"/>
    <mergeCell ref="D34:D38"/>
    <mergeCell ref="D39:D43"/>
    <mergeCell ref="A2:C2"/>
    <mergeCell ref="A3:B3"/>
    <mergeCell ref="A4:B4"/>
    <mergeCell ref="A5:B5"/>
    <mergeCell ref="A6:B6"/>
    <mergeCell ref="A7:B7"/>
    <mergeCell ref="C11:C25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29"/>
    <col customWidth="1" min="4" max="4" width="28.71"/>
    <col customWidth="1" min="5" max="5" width="16.71"/>
  </cols>
  <sheetData>
    <row r="2">
      <c r="A2" s="1" t="s">
        <v>0</v>
      </c>
      <c r="B2" s="2">
        <v>2003.0</v>
      </c>
    </row>
    <row r="5">
      <c r="A5" s="6" t="s">
        <v>1</v>
      </c>
      <c r="B5" s="7"/>
      <c r="C5" s="8"/>
      <c r="D5" s="6" t="s">
        <v>68</v>
      </c>
      <c r="E5" s="7"/>
      <c r="F5" s="8"/>
    </row>
    <row r="6">
      <c r="A6" s="10" t="s">
        <v>2</v>
      </c>
      <c r="B6" s="8"/>
      <c r="C6" s="11" t="s">
        <v>56</v>
      </c>
      <c r="D6" s="140" t="s">
        <v>142</v>
      </c>
      <c r="E6" s="100"/>
      <c r="F6" s="101"/>
    </row>
    <row r="7">
      <c r="A7" s="10" t="s">
        <v>5</v>
      </c>
      <c r="B7" s="8"/>
      <c r="C7" s="11" t="s">
        <v>25</v>
      </c>
      <c r="D7" s="102"/>
      <c r="F7" s="103"/>
    </row>
    <row r="8">
      <c r="A8" s="10" t="s">
        <v>4</v>
      </c>
      <c r="B8" s="8"/>
      <c r="C8" s="12">
        <v>1.0E-5</v>
      </c>
      <c r="D8" s="102"/>
      <c r="F8" s="103"/>
    </row>
    <row r="9">
      <c r="A9" s="10" t="s">
        <v>14</v>
      </c>
      <c r="B9" s="8"/>
      <c r="C9" s="11" t="s">
        <v>18</v>
      </c>
      <c r="D9" s="104"/>
      <c r="E9" s="105"/>
      <c r="F9" s="106"/>
    </row>
    <row r="10">
      <c r="A10" s="10" t="s">
        <v>79</v>
      </c>
      <c r="B10" s="8"/>
      <c r="C10" s="11" t="s">
        <v>74</v>
      </c>
    </row>
    <row r="11">
      <c r="A11" s="10" t="s">
        <v>7</v>
      </c>
      <c r="B11" s="8"/>
      <c r="C11" s="11" t="s">
        <v>21</v>
      </c>
    </row>
    <row r="15">
      <c r="D15" s="141" t="s">
        <v>13</v>
      </c>
      <c r="E15" s="141"/>
      <c r="F15" s="142" t="s">
        <v>15</v>
      </c>
      <c r="G15" s="18"/>
      <c r="H15" s="18"/>
      <c r="I15" s="18"/>
      <c r="J15" s="19"/>
    </row>
    <row r="16">
      <c r="D16" s="20"/>
      <c r="E16" s="143" t="s">
        <v>143</v>
      </c>
      <c r="F16" s="144">
        <v>64.0</v>
      </c>
      <c r="G16" s="144">
        <v>256.0</v>
      </c>
      <c r="H16" s="144">
        <v>512.0</v>
      </c>
      <c r="I16" s="144">
        <v>1024.0</v>
      </c>
      <c r="J16" s="144">
        <v>1500.0</v>
      </c>
    </row>
    <row r="17">
      <c r="D17" s="181" t="s">
        <v>17</v>
      </c>
      <c r="E17" s="182" t="s">
        <v>144</v>
      </c>
      <c r="F17" s="183">
        <v>4.4</v>
      </c>
      <c r="G17" s="183">
        <v>12.4</v>
      </c>
      <c r="H17" s="183">
        <v>20.0</v>
      </c>
      <c r="I17" s="183">
        <v>30.0</v>
      </c>
      <c r="J17" s="183">
        <v>37.4</v>
      </c>
    </row>
    <row r="18">
      <c r="D18" s="20"/>
      <c r="E18" s="182" t="s">
        <v>145</v>
      </c>
      <c r="F18" s="183">
        <v>1.6</v>
      </c>
      <c r="G18" s="183">
        <v>4.6</v>
      </c>
      <c r="H18" s="183">
        <v>3.9</v>
      </c>
      <c r="I18" s="183">
        <v>13.2</v>
      </c>
      <c r="J18" s="183">
        <v>17.8</v>
      </c>
    </row>
    <row r="19">
      <c r="D19" s="181" t="s">
        <v>23</v>
      </c>
      <c r="E19" s="182" t="s">
        <v>144</v>
      </c>
      <c r="F19" s="183">
        <f t="shared" ref="F19:J19" si="1">F17/4</f>
        <v>1.1</v>
      </c>
      <c r="G19" s="183">
        <f t="shared" si="1"/>
        <v>3.1</v>
      </c>
      <c r="H19" s="183">
        <f t="shared" si="1"/>
        <v>5</v>
      </c>
      <c r="I19" s="183">
        <f t="shared" si="1"/>
        <v>7.5</v>
      </c>
      <c r="J19" s="183">
        <f t="shared" si="1"/>
        <v>9.35</v>
      </c>
    </row>
    <row r="20">
      <c r="D20" s="20"/>
      <c r="E20" s="182" t="s">
        <v>145</v>
      </c>
      <c r="F20" s="183">
        <f t="shared" ref="F20:J20" si="2">F18/4</f>
        <v>0.4</v>
      </c>
      <c r="G20" s="183">
        <f t="shared" si="2"/>
        <v>1.15</v>
      </c>
      <c r="H20" s="183">
        <f t="shared" si="2"/>
        <v>0.975</v>
      </c>
      <c r="I20" s="183">
        <f t="shared" si="2"/>
        <v>3.3</v>
      </c>
      <c r="J20" s="183">
        <f t="shared" si="2"/>
        <v>4.45</v>
      </c>
    </row>
    <row r="21">
      <c r="D21" s="181" t="s">
        <v>26</v>
      </c>
      <c r="E21" s="182" t="s">
        <v>144</v>
      </c>
      <c r="F21" s="184">
        <f> 3.226*2</f>
        <v>6.452</v>
      </c>
      <c r="G21" s="184">
        <f>2.799*2</f>
        <v>5.598</v>
      </c>
      <c r="H21" s="183">
        <f>2.354*2</f>
        <v>4.708</v>
      </c>
      <c r="I21" s="184">
        <f> 1.79*2</f>
        <v>3.58</v>
      </c>
      <c r="J21" s="183">
        <f>1.538 *2</f>
        <v>3.076</v>
      </c>
    </row>
    <row r="22">
      <c r="D22" s="20"/>
      <c r="E22" s="182" t="s">
        <v>145</v>
      </c>
      <c r="F22" s="184">
        <f>1.148*2</f>
        <v>2.296</v>
      </c>
      <c r="G22" s="184">
        <f>1.057*2</f>
        <v>2.114</v>
      </c>
      <c r="H22" s="183">
        <f>0.911*2</f>
        <v>1.822</v>
      </c>
      <c r="I22" s="184">
        <f>0.785*2</f>
        <v>1.57</v>
      </c>
      <c r="J22" s="183">
        <f>0.728*2</f>
        <v>1.456</v>
      </c>
    </row>
    <row r="23">
      <c r="D23" s="181" t="s">
        <v>27</v>
      </c>
      <c r="E23" s="182" t="s">
        <v>144</v>
      </c>
      <c r="F23" s="183">
        <f>F21/4</f>
        <v>1.613</v>
      </c>
      <c r="G23" s="183">
        <f t="shared" ref="G23:J23" si="3">G21/2</f>
        <v>2.799</v>
      </c>
      <c r="H23" s="183">
        <f t="shared" si="3"/>
        <v>2.354</v>
      </c>
      <c r="I23" s="183">
        <f t="shared" si="3"/>
        <v>1.79</v>
      </c>
      <c r="J23" s="183">
        <f t="shared" si="3"/>
        <v>1.538</v>
      </c>
    </row>
    <row r="24">
      <c r="D24" s="20"/>
      <c r="E24" s="182" t="s">
        <v>145</v>
      </c>
      <c r="F24" s="183">
        <f t="shared" ref="F24:J24" si="4">F22/2</f>
        <v>1.148</v>
      </c>
      <c r="G24" s="183">
        <f t="shared" si="4"/>
        <v>1.057</v>
      </c>
      <c r="H24" s="183">
        <f t="shared" si="4"/>
        <v>0.911</v>
      </c>
      <c r="I24" s="183">
        <f t="shared" si="4"/>
        <v>0.785</v>
      </c>
      <c r="J24" s="183">
        <f t="shared" si="4"/>
        <v>0.728</v>
      </c>
    </row>
    <row r="25">
      <c r="D25" s="181" t="s">
        <v>28</v>
      </c>
      <c r="E25" s="182" t="s">
        <v>144</v>
      </c>
      <c r="F25" s="187">
        <v>127.0</v>
      </c>
      <c r="G25" s="187">
        <v>134.0</v>
      </c>
      <c r="H25" s="187">
        <v>175.0</v>
      </c>
      <c r="I25" s="187">
        <v>192.0</v>
      </c>
      <c r="J25" s="187">
        <v>389.0</v>
      </c>
    </row>
    <row r="26">
      <c r="D26" s="20"/>
      <c r="E26" s="182" t="s">
        <v>145</v>
      </c>
      <c r="F26" s="187">
        <v>83.0</v>
      </c>
      <c r="G26" s="187">
        <v>95.0</v>
      </c>
      <c r="H26" s="187">
        <v>123.0</v>
      </c>
      <c r="I26" s="187">
        <v>140.0</v>
      </c>
      <c r="J26" s="187">
        <v>150.0</v>
      </c>
    </row>
  </sheetData>
  <mergeCells count="16">
    <mergeCell ref="A5:C5"/>
    <mergeCell ref="D5:F5"/>
    <mergeCell ref="A6:B6"/>
    <mergeCell ref="D6:F9"/>
    <mergeCell ref="A7:B7"/>
    <mergeCell ref="A8:B8"/>
    <mergeCell ref="A9:B9"/>
    <mergeCell ref="D23:D24"/>
    <mergeCell ref="D25:D26"/>
    <mergeCell ref="A10:B10"/>
    <mergeCell ref="A11:B11"/>
    <mergeCell ref="D15:D16"/>
    <mergeCell ref="F15:J15"/>
    <mergeCell ref="D17:D18"/>
    <mergeCell ref="D19:D20"/>
    <mergeCell ref="D21:D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3" max="3" width="29.0"/>
    <col customWidth="1" min="4" max="4" width="14.14"/>
    <col customWidth="1" min="5" max="9" width="11.14"/>
    <col customWidth="1" min="10" max="12" width="8.71"/>
    <col customWidth="1" min="13" max="13" width="33.14"/>
    <col customWidth="1" min="14" max="14" width="216.57"/>
  </cols>
  <sheetData>
    <row r="1">
      <c r="A1" s="1" t="s">
        <v>0</v>
      </c>
      <c r="B1" s="2">
        <v>2003.0</v>
      </c>
      <c r="D1" s="3"/>
      <c r="E1" s="3"/>
      <c r="H1" s="4"/>
      <c r="I1" s="4"/>
      <c r="J1" s="4"/>
      <c r="K1" s="4"/>
      <c r="L1" s="5"/>
    </row>
    <row r="2">
      <c r="A2" s="6" t="s">
        <v>1</v>
      </c>
      <c r="B2" s="7"/>
      <c r="C2" s="8"/>
      <c r="D2" s="9"/>
      <c r="E2" s="9"/>
      <c r="H2" s="4"/>
      <c r="I2" s="4"/>
      <c r="J2" s="4"/>
      <c r="K2" s="4"/>
      <c r="L2" s="5"/>
    </row>
    <row r="3">
      <c r="A3" s="10" t="s">
        <v>2</v>
      </c>
      <c r="B3" s="8"/>
      <c r="C3" s="11" t="s">
        <v>3</v>
      </c>
      <c r="D3" s="9"/>
      <c r="E3" s="9"/>
      <c r="H3" s="4"/>
      <c r="I3" s="4"/>
      <c r="J3" s="4"/>
      <c r="K3" s="4"/>
      <c r="L3" s="5"/>
    </row>
    <row r="4">
      <c r="A4" s="10" t="s">
        <v>4</v>
      </c>
      <c r="B4" s="8"/>
      <c r="C4" s="12">
        <v>1.0E-5</v>
      </c>
      <c r="D4" s="9"/>
      <c r="E4" s="9"/>
      <c r="H4" s="4"/>
      <c r="I4" s="4"/>
      <c r="J4" s="4"/>
      <c r="K4" s="4"/>
      <c r="L4" s="5"/>
    </row>
    <row r="5">
      <c r="A5" s="10" t="s">
        <v>5</v>
      </c>
      <c r="B5" s="8"/>
      <c r="C5" s="11" t="s">
        <v>6</v>
      </c>
      <c r="D5" s="9"/>
      <c r="E5" s="9"/>
      <c r="H5" s="4"/>
      <c r="I5" s="4"/>
      <c r="J5" s="4"/>
      <c r="K5" s="4"/>
      <c r="L5" s="5"/>
    </row>
    <row r="6">
      <c r="A6" s="10" t="s">
        <v>7</v>
      </c>
      <c r="B6" s="8"/>
      <c r="C6" s="11" t="s">
        <v>8</v>
      </c>
      <c r="D6" s="9"/>
      <c r="E6" s="9"/>
      <c r="H6" s="4"/>
      <c r="I6" s="4"/>
      <c r="J6" s="4"/>
      <c r="K6" s="4"/>
      <c r="L6" s="5"/>
    </row>
    <row r="7">
      <c r="A7" s="10" t="s">
        <v>9</v>
      </c>
      <c r="B7" s="8"/>
      <c r="C7" s="11" t="s">
        <v>10</v>
      </c>
      <c r="D7" s="13"/>
      <c r="E7" s="13"/>
      <c r="H7" s="4"/>
      <c r="I7" s="4"/>
      <c r="J7" s="4"/>
      <c r="K7" s="4"/>
      <c r="L7" s="5"/>
    </row>
    <row r="8">
      <c r="C8" s="14" t="s">
        <v>11</v>
      </c>
      <c r="H8" s="4"/>
      <c r="I8" s="4"/>
      <c r="J8" s="4"/>
      <c r="K8" s="4"/>
      <c r="L8" s="5"/>
    </row>
    <row r="9">
      <c r="H9" s="4"/>
      <c r="I9" s="4"/>
      <c r="J9" s="4"/>
      <c r="K9" s="4"/>
      <c r="L9" s="5"/>
    </row>
    <row r="10">
      <c r="A10" s="15"/>
      <c r="B10" s="16" t="s">
        <v>12</v>
      </c>
      <c r="C10" s="16" t="s">
        <v>13</v>
      </c>
      <c r="D10" s="16" t="s">
        <v>14</v>
      </c>
      <c r="E10" s="17" t="s">
        <v>15</v>
      </c>
      <c r="F10" s="18"/>
      <c r="G10" s="18"/>
      <c r="H10" s="18"/>
      <c r="I10" s="19"/>
      <c r="M10" s="3"/>
      <c r="N10" s="3"/>
    </row>
    <row r="11">
      <c r="B11" s="20"/>
      <c r="C11" s="20"/>
      <c r="D11" s="21"/>
      <c r="E11" s="22">
        <v>64.0</v>
      </c>
      <c r="F11" s="22">
        <v>256.0</v>
      </c>
      <c r="G11" s="22">
        <v>512.0</v>
      </c>
      <c r="H11" s="22">
        <v>1024.0</v>
      </c>
      <c r="I11" s="22">
        <v>1500.0</v>
      </c>
      <c r="M11" s="9"/>
      <c r="N11" s="9"/>
    </row>
    <row r="12">
      <c r="B12" s="23" t="s">
        <v>16</v>
      </c>
      <c r="C12" s="24" t="s">
        <v>17</v>
      </c>
      <c r="D12" s="25" t="s">
        <v>18</v>
      </c>
      <c r="E12" s="26">
        <v>3.4</v>
      </c>
      <c r="F12" s="26">
        <v>10.6</v>
      </c>
      <c r="G12" s="26">
        <v>19.2</v>
      </c>
      <c r="H12" s="26">
        <v>32.6</v>
      </c>
      <c r="I12" s="27">
        <v>38.6</v>
      </c>
      <c r="M12" s="9"/>
      <c r="N12" s="9"/>
    </row>
    <row r="13">
      <c r="B13" s="28"/>
      <c r="C13" s="29"/>
      <c r="D13" s="30" t="s">
        <v>19</v>
      </c>
      <c r="E13" s="31">
        <v>2.4</v>
      </c>
      <c r="F13" s="31">
        <v>9.0</v>
      </c>
      <c r="G13" s="31">
        <v>15.8</v>
      </c>
      <c r="H13" s="31">
        <v>19.2</v>
      </c>
      <c r="I13" s="27">
        <v>19.4</v>
      </c>
      <c r="M13" s="9"/>
      <c r="N13" s="9"/>
    </row>
    <row r="14">
      <c r="B14" s="28"/>
      <c r="C14" s="32"/>
      <c r="D14" s="30" t="s">
        <v>22</v>
      </c>
      <c r="E14" s="31">
        <v>3.2</v>
      </c>
      <c r="F14" s="31">
        <v>9.8</v>
      </c>
      <c r="G14" s="31">
        <v>17.6</v>
      </c>
      <c r="H14" s="31">
        <v>30.0</v>
      </c>
      <c r="I14" s="33">
        <v>38.6</v>
      </c>
      <c r="M14" s="9"/>
      <c r="N14" s="9"/>
    </row>
    <row r="15">
      <c r="B15" s="28"/>
      <c r="C15" s="34" t="s">
        <v>23</v>
      </c>
      <c r="D15" s="30" t="s">
        <v>18</v>
      </c>
      <c r="E15" s="35">
        <f t="shared" ref="E15:I15" si="1">E12/2</f>
        <v>1.7</v>
      </c>
      <c r="F15" s="35">
        <f t="shared" si="1"/>
        <v>5.3</v>
      </c>
      <c r="G15" s="35">
        <f t="shared" si="1"/>
        <v>9.6</v>
      </c>
      <c r="H15" s="35">
        <f t="shared" si="1"/>
        <v>16.3</v>
      </c>
      <c r="I15" s="35">
        <f t="shared" si="1"/>
        <v>19.3</v>
      </c>
      <c r="M15" s="9"/>
      <c r="N15" s="9"/>
    </row>
    <row r="16">
      <c r="B16" s="28"/>
      <c r="C16" s="29"/>
      <c r="D16" s="30" t="s">
        <v>19</v>
      </c>
      <c r="E16" s="35">
        <f t="shared" ref="E16:I16" si="2">E13/2</f>
        <v>1.2</v>
      </c>
      <c r="F16" s="35">
        <f t="shared" si="2"/>
        <v>4.5</v>
      </c>
      <c r="G16" s="35">
        <f t="shared" si="2"/>
        <v>7.9</v>
      </c>
      <c r="H16" s="35">
        <f t="shared" si="2"/>
        <v>9.6</v>
      </c>
      <c r="I16" s="35">
        <f t="shared" si="2"/>
        <v>9.7</v>
      </c>
      <c r="M16" s="13"/>
      <c r="N16" s="13"/>
    </row>
    <row r="17">
      <c r="B17" s="28"/>
      <c r="C17" s="32"/>
      <c r="D17" s="30" t="s">
        <v>22</v>
      </c>
      <c r="E17" s="35">
        <f t="shared" ref="E17:I17" si="3">E14/2</f>
        <v>1.6</v>
      </c>
      <c r="F17" s="35">
        <f t="shared" si="3"/>
        <v>4.9</v>
      </c>
      <c r="G17" s="35">
        <f t="shared" si="3"/>
        <v>8.8</v>
      </c>
      <c r="H17" s="35">
        <f t="shared" si="3"/>
        <v>15</v>
      </c>
      <c r="I17" s="35">
        <f t="shared" si="3"/>
        <v>19.3</v>
      </c>
      <c r="M17" s="13"/>
      <c r="N17" s="13"/>
    </row>
    <row r="18">
      <c r="B18" s="28"/>
      <c r="C18" s="34" t="s">
        <v>26</v>
      </c>
      <c r="D18" s="30" t="s">
        <v>18</v>
      </c>
      <c r="E18" s="36">
        <f>2.529*2</f>
        <v>5.058</v>
      </c>
      <c r="F18" s="36">
        <f>2.415*2</f>
        <v>4.83</v>
      </c>
      <c r="G18" s="37">
        <f>2.253*2</f>
        <v>4.506</v>
      </c>
      <c r="H18" s="36">
        <f>1.954*2</f>
        <v>3.908</v>
      </c>
      <c r="I18" s="38">
        <f>1.588*2</f>
        <v>3.176</v>
      </c>
      <c r="M18" s="13"/>
      <c r="N18" s="13"/>
    </row>
    <row r="19">
      <c r="B19" s="28"/>
      <c r="C19" s="29"/>
      <c r="D19" s="30" t="s">
        <v>19</v>
      </c>
      <c r="E19" s="37">
        <f>1.787*2</f>
        <v>3.574</v>
      </c>
      <c r="F19" s="37">
        <f>2.021*2</f>
        <v>4.042</v>
      </c>
      <c r="G19" s="37">
        <f>1.865*2</f>
        <v>3.73</v>
      </c>
      <c r="H19" s="37">
        <f>1.153*2</f>
        <v>2.306</v>
      </c>
      <c r="I19" s="38">
        <v>1.58</v>
      </c>
      <c r="M19" s="13"/>
      <c r="N19" s="13"/>
    </row>
    <row r="20">
      <c r="B20" s="28"/>
      <c r="C20" s="32"/>
      <c r="D20" s="30" t="s">
        <v>22</v>
      </c>
      <c r="E20" s="37">
        <f>2.311*2</f>
        <v>4.622</v>
      </c>
      <c r="F20" s="37">
        <f>2.216*2</f>
        <v>4.432</v>
      </c>
      <c r="G20" s="37">
        <f>2.077 *2</f>
        <v>4.154</v>
      </c>
      <c r="H20" s="37">
        <f>1.797*2</f>
        <v>3.594</v>
      </c>
      <c r="I20" s="38">
        <f>1.584*2</f>
        <v>3.168</v>
      </c>
      <c r="M20" s="13"/>
      <c r="N20" s="13"/>
    </row>
    <row r="21">
      <c r="B21" s="28"/>
      <c r="C21" s="34" t="s">
        <v>27</v>
      </c>
      <c r="D21" s="30" t="s">
        <v>18</v>
      </c>
      <c r="E21" s="35">
        <f t="shared" ref="E21:I21" si="4">E18/2</f>
        <v>2.529</v>
      </c>
      <c r="F21" s="35">
        <f t="shared" si="4"/>
        <v>2.415</v>
      </c>
      <c r="G21" s="35">
        <f t="shared" si="4"/>
        <v>2.253</v>
      </c>
      <c r="H21" s="35">
        <f t="shared" si="4"/>
        <v>1.954</v>
      </c>
      <c r="I21" s="39">
        <f t="shared" si="4"/>
        <v>1.588</v>
      </c>
      <c r="M21" s="13"/>
      <c r="N21" s="13"/>
    </row>
    <row r="22">
      <c r="B22" s="28"/>
      <c r="C22" s="29"/>
      <c r="D22" s="30" t="s">
        <v>19</v>
      </c>
      <c r="E22" s="35">
        <f t="shared" ref="E22:I22" si="5">E19/2</f>
        <v>1.787</v>
      </c>
      <c r="F22" s="35">
        <f t="shared" si="5"/>
        <v>2.021</v>
      </c>
      <c r="G22" s="35">
        <f t="shared" si="5"/>
        <v>1.865</v>
      </c>
      <c r="H22" s="35">
        <f t="shared" si="5"/>
        <v>1.153</v>
      </c>
      <c r="I22" s="39">
        <f t="shared" si="5"/>
        <v>0.79</v>
      </c>
      <c r="M22" s="13"/>
      <c r="N22" s="13"/>
    </row>
    <row r="23">
      <c r="B23" s="28"/>
      <c r="C23" s="32"/>
      <c r="D23" s="30" t="s">
        <v>22</v>
      </c>
      <c r="E23" s="35">
        <f t="shared" ref="E23:I23" si="6">E20/2</f>
        <v>2.311</v>
      </c>
      <c r="F23" s="35">
        <f t="shared" si="6"/>
        <v>2.216</v>
      </c>
      <c r="G23" s="35">
        <f t="shared" si="6"/>
        <v>2.077</v>
      </c>
      <c r="H23" s="35">
        <f t="shared" si="6"/>
        <v>1.797</v>
      </c>
      <c r="I23" s="39">
        <f t="shared" si="6"/>
        <v>1.584</v>
      </c>
      <c r="M23" s="13"/>
      <c r="N23" s="13"/>
    </row>
    <row r="24">
      <c r="B24" s="28"/>
      <c r="C24" s="34" t="s">
        <v>28</v>
      </c>
      <c r="D24" s="30" t="s">
        <v>18</v>
      </c>
      <c r="E24" s="40">
        <v>871.0</v>
      </c>
      <c r="F24" s="40">
        <v>775.0</v>
      </c>
      <c r="G24" s="40">
        <v>565.0</v>
      </c>
      <c r="H24" s="40">
        <v>297.0</v>
      </c>
      <c r="I24" s="41">
        <v>265.0</v>
      </c>
      <c r="M24" s="13"/>
      <c r="N24" s="13"/>
    </row>
    <row r="25">
      <c r="B25" s="28"/>
      <c r="C25" s="29"/>
      <c r="D25" s="30" t="s">
        <v>19</v>
      </c>
      <c r="E25" s="40">
        <v>98.0</v>
      </c>
      <c r="F25" s="40">
        <v>435.0</v>
      </c>
      <c r="G25" s="40">
        <v>499.0</v>
      </c>
      <c r="H25" s="40">
        <v>121.0</v>
      </c>
      <c r="I25" s="41">
        <v>99.0</v>
      </c>
      <c r="M25" s="13"/>
      <c r="N25" s="13"/>
    </row>
    <row r="26">
      <c r="B26" s="42"/>
      <c r="C26" s="43"/>
      <c r="D26" s="44" t="s">
        <v>22</v>
      </c>
      <c r="E26" s="45">
        <v>484.0</v>
      </c>
      <c r="F26" s="45">
        <v>603.0</v>
      </c>
      <c r="G26" s="45">
        <v>415.0</v>
      </c>
      <c r="H26" s="45">
        <v>261.0</v>
      </c>
      <c r="I26" s="46">
        <v>316.0</v>
      </c>
    </row>
    <row r="27">
      <c r="B27" s="23" t="s">
        <v>29</v>
      </c>
      <c r="C27" s="24" t="s">
        <v>17</v>
      </c>
      <c r="D27" s="25" t="s">
        <v>18</v>
      </c>
      <c r="E27" s="26">
        <v>2.4</v>
      </c>
      <c r="F27" s="26">
        <v>7.2</v>
      </c>
      <c r="G27" s="26">
        <v>13.2</v>
      </c>
      <c r="H27" s="26">
        <v>22.8</v>
      </c>
      <c r="I27" s="27">
        <v>30.8</v>
      </c>
      <c r="M27" s="9"/>
      <c r="N27" s="9"/>
    </row>
    <row r="28">
      <c r="B28" s="28"/>
      <c r="C28" s="29"/>
      <c r="D28" s="30" t="s">
        <v>19</v>
      </c>
      <c r="E28" s="37">
        <v>1.8</v>
      </c>
      <c r="F28" s="37">
        <v>5.8</v>
      </c>
      <c r="G28" s="37">
        <v>10.6</v>
      </c>
      <c r="H28" s="37">
        <v>19.2</v>
      </c>
      <c r="I28" s="38">
        <v>19.4</v>
      </c>
      <c r="M28" s="9"/>
      <c r="N28" s="9"/>
    </row>
    <row r="29">
      <c r="B29" s="28"/>
      <c r="C29" s="32"/>
      <c r="D29" s="30" t="s">
        <v>22</v>
      </c>
      <c r="E29" s="37">
        <v>2.2</v>
      </c>
      <c r="F29" s="37">
        <v>6.6</v>
      </c>
      <c r="G29" s="37">
        <v>12.2</v>
      </c>
      <c r="H29" s="37">
        <v>21.4</v>
      </c>
      <c r="I29" s="38">
        <v>30.2</v>
      </c>
      <c r="M29" s="9"/>
      <c r="N29" s="9"/>
    </row>
    <row r="30">
      <c r="B30" s="28"/>
      <c r="C30" s="34" t="s">
        <v>23</v>
      </c>
      <c r="D30" s="30" t="s">
        <v>18</v>
      </c>
      <c r="E30" s="35">
        <f t="shared" ref="E30:I30" si="7">E27/2</f>
        <v>1.2</v>
      </c>
      <c r="F30" s="35">
        <f t="shared" si="7"/>
        <v>3.6</v>
      </c>
      <c r="G30" s="35">
        <f t="shared" si="7"/>
        <v>6.6</v>
      </c>
      <c r="H30" s="35">
        <f t="shared" si="7"/>
        <v>11.4</v>
      </c>
      <c r="I30" s="39">
        <f t="shared" si="7"/>
        <v>15.4</v>
      </c>
      <c r="M30" s="9"/>
      <c r="N30" s="9"/>
    </row>
    <row r="31">
      <c r="B31" s="28"/>
      <c r="C31" s="29"/>
      <c r="D31" s="30" t="s">
        <v>19</v>
      </c>
      <c r="E31" s="35">
        <f t="shared" ref="E31:I31" si="8">E28/2</f>
        <v>0.9</v>
      </c>
      <c r="F31" s="35">
        <f t="shared" si="8"/>
        <v>2.9</v>
      </c>
      <c r="G31" s="35">
        <f t="shared" si="8"/>
        <v>5.3</v>
      </c>
      <c r="H31" s="35">
        <f t="shared" si="8"/>
        <v>9.6</v>
      </c>
      <c r="I31" s="39">
        <f t="shared" si="8"/>
        <v>9.7</v>
      </c>
      <c r="M31" s="13"/>
      <c r="N31" s="13"/>
    </row>
    <row r="32">
      <c r="B32" s="28"/>
      <c r="C32" s="32"/>
      <c r="D32" s="30" t="s">
        <v>22</v>
      </c>
      <c r="E32" s="35">
        <f t="shared" ref="E32:I32" si="9">E29/2</f>
        <v>1.1</v>
      </c>
      <c r="F32" s="35">
        <f t="shared" si="9"/>
        <v>3.3</v>
      </c>
      <c r="G32" s="35">
        <f t="shared" si="9"/>
        <v>6.1</v>
      </c>
      <c r="H32" s="35">
        <f t="shared" si="9"/>
        <v>10.7</v>
      </c>
      <c r="I32" s="39">
        <f t="shared" si="9"/>
        <v>15.1</v>
      </c>
      <c r="M32" s="13"/>
      <c r="N32" s="13"/>
    </row>
    <row r="33">
      <c r="B33" s="28"/>
      <c r="C33" s="34" t="s">
        <v>26</v>
      </c>
      <c r="D33" s="30" t="s">
        <v>18</v>
      </c>
      <c r="E33" s="37">
        <f>1.715*2</f>
        <v>3.43</v>
      </c>
      <c r="F33" s="36">
        <f>1.636*2</f>
        <v>3.272</v>
      </c>
      <c r="G33" s="37">
        <f>1.547*2</f>
        <v>3.094</v>
      </c>
      <c r="H33" s="36">
        <f>1.366*2</f>
        <v>2.732</v>
      </c>
      <c r="I33" s="38">
        <f>1.263*2</f>
        <v>2.526</v>
      </c>
      <c r="M33" s="13"/>
      <c r="N33" s="13"/>
    </row>
    <row r="34">
      <c r="B34" s="28"/>
      <c r="C34" s="29"/>
      <c r="D34" s="30" t="s">
        <v>19</v>
      </c>
      <c r="E34" s="37">
        <f>1.381 *2</f>
        <v>2.762</v>
      </c>
      <c r="F34" s="37">
        <f>1.305*2</f>
        <v>2.61</v>
      </c>
      <c r="G34" s="37">
        <f>1.253*2</f>
        <v>2.506</v>
      </c>
      <c r="H34" s="37">
        <f>1.114*2</f>
        <v>2.228</v>
      </c>
      <c r="I34" s="38">
        <f>0.801*2</f>
        <v>1.602</v>
      </c>
      <c r="M34" s="13"/>
      <c r="N34" s="13"/>
    </row>
    <row r="35">
      <c r="B35" s="28"/>
      <c r="C35" s="32"/>
      <c r="D35" s="30" t="s">
        <v>22</v>
      </c>
      <c r="E35" s="37">
        <f>1.584*2</f>
        <v>3.168</v>
      </c>
      <c r="F35" s="37">
        <f>1.517*2</f>
        <v>3.034</v>
      </c>
      <c r="G35" s="37">
        <f>1.439*2</f>
        <v>2.878</v>
      </c>
      <c r="H35" s="37">
        <f>1.277*2</f>
        <v>2.554</v>
      </c>
      <c r="I35" s="38">
        <f>1.198*2</f>
        <v>2.396</v>
      </c>
      <c r="M35" s="13"/>
      <c r="N35" s="13"/>
    </row>
    <row r="36">
      <c r="B36" s="28"/>
      <c r="C36" s="34" t="s">
        <v>27</v>
      </c>
      <c r="D36" s="30" t="s">
        <v>18</v>
      </c>
      <c r="E36" s="35">
        <f t="shared" ref="E36:I36" si="10">E33/2</f>
        <v>1.715</v>
      </c>
      <c r="F36" s="35">
        <f t="shared" si="10"/>
        <v>1.636</v>
      </c>
      <c r="G36" s="35">
        <f t="shared" si="10"/>
        <v>1.547</v>
      </c>
      <c r="H36" s="35">
        <f t="shared" si="10"/>
        <v>1.366</v>
      </c>
      <c r="I36" s="39">
        <f t="shared" si="10"/>
        <v>1.263</v>
      </c>
      <c r="M36" s="13"/>
      <c r="N36" s="13"/>
    </row>
    <row r="37">
      <c r="B37" s="28"/>
      <c r="C37" s="29"/>
      <c r="D37" s="30" t="s">
        <v>19</v>
      </c>
      <c r="E37" s="35">
        <f t="shared" ref="E37:I37" si="11">E34/2</f>
        <v>1.381</v>
      </c>
      <c r="F37" s="35">
        <f t="shared" si="11"/>
        <v>1.305</v>
      </c>
      <c r="G37" s="35">
        <f t="shared" si="11"/>
        <v>1.253</v>
      </c>
      <c r="H37" s="35">
        <f t="shared" si="11"/>
        <v>1.114</v>
      </c>
      <c r="I37" s="39">
        <f t="shared" si="11"/>
        <v>0.801</v>
      </c>
      <c r="M37" s="13"/>
      <c r="N37" s="13"/>
    </row>
    <row r="38">
      <c r="B38" s="28"/>
      <c r="C38" s="32"/>
      <c r="D38" s="30" t="s">
        <v>22</v>
      </c>
      <c r="E38" s="35">
        <f t="shared" ref="E38:I38" si="12">E35/2</f>
        <v>1.584</v>
      </c>
      <c r="F38" s="35">
        <f t="shared" si="12"/>
        <v>1.517</v>
      </c>
      <c r="G38" s="35">
        <f t="shared" si="12"/>
        <v>1.439</v>
      </c>
      <c r="H38" s="35">
        <f t="shared" si="12"/>
        <v>1.277</v>
      </c>
      <c r="I38" s="39">
        <f t="shared" si="12"/>
        <v>1.198</v>
      </c>
      <c r="M38" s="13"/>
      <c r="N38" s="13"/>
    </row>
    <row r="39">
      <c r="B39" s="28"/>
      <c r="C39" s="34" t="s">
        <v>28</v>
      </c>
      <c r="D39" s="30" t="s">
        <v>18</v>
      </c>
      <c r="E39" s="40">
        <v>458.0</v>
      </c>
      <c r="F39" s="40">
        <v>360.0</v>
      </c>
      <c r="G39" s="40">
        <v>344.0</v>
      </c>
      <c r="H39" s="40">
        <v>276.0</v>
      </c>
      <c r="I39" s="41">
        <v>276.0</v>
      </c>
      <c r="M39" s="13"/>
      <c r="N39" s="13"/>
    </row>
    <row r="40">
      <c r="B40" s="28"/>
      <c r="C40" s="29"/>
      <c r="D40" s="30" t="s">
        <v>19</v>
      </c>
      <c r="E40" s="40">
        <v>129.0</v>
      </c>
      <c r="F40" s="40">
        <v>687.0</v>
      </c>
      <c r="G40" s="40">
        <v>633.0</v>
      </c>
      <c r="H40" s="40">
        <v>191.0</v>
      </c>
      <c r="I40" s="41">
        <v>142.0</v>
      </c>
      <c r="M40" s="13"/>
      <c r="N40" s="13"/>
    </row>
    <row r="41">
      <c r="B41" s="42"/>
      <c r="C41" s="43"/>
      <c r="D41" s="44" t="s">
        <v>22</v>
      </c>
      <c r="E41" s="45">
        <v>208.0</v>
      </c>
      <c r="F41" s="45">
        <v>236.0</v>
      </c>
      <c r="G41" s="45">
        <v>237.0</v>
      </c>
      <c r="H41" s="45">
        <v>243.0</v>
      </c>
      <c r="I41" s="46">
        <v>281.0</v>
      </c>
    </row>
    <row r="59">
      <c r="H59" s="4"/>
      <c r="I59" s="4"/>
      <c r="J59" s="4"/>
      <c r="K59" s="4"/>
      <c r="L59" s="5"/>
    </row>
    <row r="60">
      <c r="H60" s="4"/>
      <c r="I60" s="4"/>
      <c r="J60" s="4"/>
      <c r="K60" s="4"/>
      <c r="L60" s="5"/>
    </row>
    <row r="61">
      <c r="H61" s="4"/>
      <c r="I61" s="4"/>
      <c r="J61" s="4"/>
      <c r="K61" s="4"/>
      <c r="L61" s="5"/>
    </row>
    <row r="62">
      <c r="H62" s="4"/>
      <c r="I62" s="4"/>
      <c r="J62" s="4"/>
      <c r="K62" s="4"/>
      <c r="L62" s="5"/>
    </row>
    <row r="63">
      <c r="H63" s="4"/>
      <c r="I63" s="4"/>
      <c r="J63" s="4"/>
      <c r="K63" s="4"/>
      <c r="L63" s="5"/>
    </row>
    <row r="64">
      <c r="H64" s="4"/>
      <c r="I64" s="4"/>
      <c r="J64" s="4"/>
      <c r="K64" s="4"/>
      <c r="L64" s="5"/>
    </row>
    <row r="65">
      <c r="H65" s="4"/>
      <c r="I65" s="4"/>
      <c r="J65" s="4"/>
      <c r="K65" s="4"/>
      <c r="L65" s="5"/>
    </row>
    <row r="66">
      <c r="H66" s="4"/>
      <c r="I66" s="4"/>
      <c r="J66" s="4"/>
      <c r="K66" s="4"/>
      <c r="L66" s="5"/>
    </row>
    <row r="67">
      <c r="H67" s="4"/>
      <c r="I67" s="4"/>
      <c r="J67" s="4"/>
      <c r="K67" s="4"/>
      <c r="L67" s="5"/>
    </row>
    <row r="68">
      <c r="H68" s="4"/>
      <c r="I68" s="4"/>
      <c r="J68" s="4"/>
      <c r="K68" s="4"/>
      <c r="L68" s="5"/>
    </row>
    <row r="69">
      <c r="H69" s="4"/>
      <c r="I69" s="4"/>
      <c r="J69" s="4"/>
      <c r="K69" s="4"/>
      <c r="L69" s="5"/>
    </row>
    <row r="70">
      <c r="H70" s="4"/>
      <c r="I70" s="4"/>
      <c r="J70" s="4"/>
      <c r="K70" s="4"/>
      <c r="L70" s="5"/>
    </row>
    <row r="71">
      <c r="H71" s="4"/>
      <c r="I71" s="4"/>
      <c r="J71" s="4"/>
      <c r="K71" s="4"/>
      <c r="L71" s="5"/>
    </row>
    <row r="72">
      <c r="H72" s="4"/>
      <c r="I72" s="4"/>
      <c r="J72" s="4"/>
      <c r="K72" s="4"/>
      <c r="L72" s="5"/>
    </row>
    <row r="73">
      <c r="H73" s="4"/>
      <c r="I73" s="4"/>
      <c r="J73" s="4"/>
      <c r="K73" s="4"/>
      <c r="L73" s="5"/>
    </row>
    <row r="74">
      <c r="H74" s="4"/>
      <c r="I74" s="4"/>
      <c r="J74" s="4"/>
      <c r="K74" s="4"/>
      <c r="L74" s="5"/>
    </row>
    <row r="75">
      <c r="H75" s="4"/>
      <c r="I75" s="4"/>
      <c r="J75" s="4"/>
      <c r="K75" s="4"/>
      <c r="L75" s="5"/>
    </row>
    <row r="76">
      <c r="H76" s="4"/>
      <c r="I76" s="4"/>
      <c r="J76" s="4"/>
      <c r="K76" s="4"/>
      <c r="L76" s="5"/>
    </row>
    <row r="77">
      <c r="H77" s="4"/>
      <c r="I77" s="4"/>
      <c r="J77" s="4"/>
      <c r="K77" s="4"/>
      <c r="L77" s="5"/>
    </row>
    <row r="78">
      <c r="H78" s="4"/>
      <c r="I78" s="4"/>
      <c r="J78" s="4"/>
      <c r="K78" s="4"/>
      <c r="L78" s="5"/>
    </row>
    <row r="79">
      <c r="H79" s="4"/>
      <c r="I79" s="4"/>
      <c r="J79" s="4"/>
      <c r="K79" s="4"/>
      <c r="L79" s="5"/>
    </row>
    <row r="80">
      <c r="H80" s="4"/>
      <c r="I80" s="4"/>
      <c r="J80" s="4"/>
      <c r="K80" s="4"/>
      <c r="L80" s="5"/>
    </row>
    <row r="81">
      <c r="H81" s="4"/>
      <c r="I81" s="4"/>
      <c r="J81" s="4"/>
      <c r="K81" s="4"/>
      <c r="L81" s="5"/>
    </row>
    <row r="82">
      <c r="H82" s="4"/>
      <c r="I82" s="4"/>
      <c r="J82" s="4"/>
      <c r="K82" s="4"/>
      <c r="L82" s="5"/>
    </row>
    <row r="83">
      <c r="H83" s="4"/>
      <c r="I83" s="4"/>
      <c r="J83" s="4"/>
      <c r="K83" s="4"/>
      <c r="L83" s="5"/>
    </row>
    <row r="84">
      <c r="H84" s="4"/>
      <c r="I84" s="4"/>
      <c r="J84" s="4"/>
      <c r="K84" s="4"/>
      <c r="L84" s="5"/>
    </row>
    <row r="85">
      <c r="H85" s="4"/>
      <c r="I85" s="4"/>
      <c r="J85" s="4"/>
      <c r="K85" s="4"/>
      <c r="L85" s="5"/>
    </row>
    <row r="86">
      <c r="H86" s="4"/>
      <c r="I86" s="4"/>
      <c r="J86" s="4"/>
      <c r="K86" s="4"/>
      <c r="L86" s="5"/>
    </row>
    <row r="87">
      <c r="H87" s="4"/>
      <c r="I87" s="4"/>
      <c r="J87" s="4"/>
      <c r="K87" s="4"/>
      <c r="L87" s="5"/>
    </row>
    <row r="88">
      <c r="H88" s="4"/>
      <c r="I88" s="4"/>
      <c r="J88" s="4"/>
      <c r="K88" s="4"/>
      <c r="L88" s="5"/>
    </row>
    <row r="89">
      <c r="H89" s="4"/>
      <c r="I89" s="4"/>
      <c r="J89" s="4"/>
      <c r="K89" s="4"/>
      <c r="L89" s="5"/>
    </row>
    <row r="90">
      <c r="H90" s="4"/>
      <c r="I90" s="4"/>
      <c r="J90" s="4"/>
      <c r="K90" s="4"/>
      <c r="L90" s="5"/>
    </row>
    <row r="91">
      <c r="H91" s="4"/>
      <c r="I91" s="4"/>
      <c r="J91" s="4"/>
      <c r="K91" s="4"/>
      <c r="L91" s="5"/>
    </row>
    <row r="92">
      <c r="H92" s="4"/>
      <c r="I92" s="4"/>
      <c r="J92" s="4"/>
      <c r="K92" s="4"/>
      <c r="L92" s="5"/>
    </row>
    <row r="93">
      <c r="H93" s="4"/>
      <c r="I93" s="4"/>
      <c r="J93" s="4"/>
      <c r="K93" s="4"/>
      <c r="L93" s="5"/>
    </row>
    <row r="94">
      <c r="H94" s="4"/>
      <c r="I94" s="4"/>
      <c r="J94" s="4"/>
      <c r="K94" s="4"/>
      <c r="L94" s="5"/>
    </row>
    <row r="95">
      <c r="H95" s="4"/>
      <c r="I95" s="4"/>
      <c r="J95" s="4"/>
      <c r="K95" s="4"/>
      <c r="L95" s="5"/>
    </row>
    <row r="96">
      <c r="H96" s="4"/>
      <c r="I96" s="4"/>
      <c r="J96" s="4"/>
      <c r="K96" s="4"/>
      <c r="L96" s="5"/>
    </row>
    <row r="97">
      <c r="H97" s="4"/>
      <c r="I97" s="4"/>
      <c r="J97" s="4"/>
      <c r="K97" s="4"/>
      <c r="L97" s="5"/>
    </row>
    <row r="98">
      <c r="H98" s="4"/>
      <c r="I98" s="4"/>
      <c r="J98" s="4"/>
      <c r="K98" s="4"/>
      <c r="L98" s="5"/>
    </row>
    <row r="99">
      <c r="H99" s="4"/>
      <c r="I99" s="4"/>
      <c r="J99" s="4"/>
      <c r="K99" s="4"/>
      <c r="L99" s="5"/>
    </row>
    <row r="100">
      <c r="H100" s="4"/>
      <c r="I100" s="4"/>
      <c r="J100" s="4"/>
      <c r="K100" s="4"/>
      <c r="L100" s="5"/>
    </row>
    <row r="101">
      <c r="H101" s="4"/>
      <c r="I101" s="4"/>
      <c r="J101" s="4"/>
      <c r="K101" s="4"/>
      <c r="L101" s="5"/>
    </row>
    <row r="102">
      <c r="H102" s="4"/>
      <c r="I102" s="4"/>
      <c r="J102" s="4"/>
      <c r="K102" s="4"/>
      <c r="L102" s="5"/>
    </row>
    <row r="103">
      <c r="H103" s="4"/>
      <c r="I103" s="4"/>
      <c r="J103" s="4"/>
      <c r="K103" s="4"/>
      <c r="L103" s="5"/>
    </row>
    <row r="104">
      <c r="H104" s="4"/>
      <c r="I104" s="4"/>
      <c r="J104" s="4"/>
      <c r="K104" s="4"/>
      <c r="L104" s="5"/>
    </row>
    <row r="105">
      <c r="H105" s="4"/>
      <c r="I105" s="4"/>
      <c r="J105" s="4"/>
      <c r="K105" s="4"/>
      <c r="L105" s="5"/>
    </row>
    <row r="106">
      <c r="H106" s="4"/>
      <c r="I106" s="4"/>
      <c r="J106" s="4"/>
      <c r="K106" s="4"/>
      <c r="L106" s="5"/>
    </row>
    <row r="107">
      <c r="H107" s="4"/>
      <c r="I107" s="4"/>
      <c r="J107" s="4"/>
      <c r="K107" s="4"/>
      <c r="L107" s="5"/>
    </row>
    <row r="108">
      <c r="H108" s="4"/>
      <c r="I108" s="4"/>
      <c r="J108" s="4"/>
      <c r="K108" s="4"/>
      <c r="L108" s="5"/>
    </row>
    <row r="109">
      <c r="H109" s="4"/>
      <c r="I109" s="4"/>
      <c r="J109" s="4"/>
      <c r="K109" s="4"/>
      <c r="L109" s="5"/>
    </row>
    <row r="110">
      <c r="H110" s="4"/>
      <c r="I110" s="4"/>
      <c r="J110" s="4"/>
      <c r="K110" s="4"/>
      <c r="L110" s="5"/>
    </row>
    <row r="111">
      <c r="H111" s="4"/>
      <c r="I111" s="4"/>
      <c r="J111" s="4"/>
      <c r="K111" s="4"/>
      <c r="L111" s="5"/>
    </row>
    <row r="112">
      <c r="H112" s="4"/>
      <c r="I112" s="4"/>
      <c r="J112" s="4"/>
      <c r="K112" s="4"/>
      <c r="L112" s="5"/>
    </row>
    <row r="113">
      <c r="H113" s="4"/>
      <c r="I113" s="4"/>
      <c r="J113" s="4"/>
      <c r="K113" s="4"/>
      <c r="L113" s="5"/>
    </row>
    <row r="114">
      <c r="H114" s="4"/>
      <c r="I114" s="4"/>
      <c r="J114" s="4"/>
      <c r="K114" s="4"/>
      <c r="L114" s="5"/>
    </row>
    <row r="115">
      <c r="H115" s="4"/>
      <c r="I115" s="4"/>
      <c r="J115" s="4"/>
      <c r="K115" s="4"/>
      <c r="L115" s="5"/>
    </row>
    <row r="116">
      <c r="H116" s="4"/>
      <c r="I116" s="4"/>
      <c r="J116" s="4"/>
      <c r="K116" s="4"/>
      <c r="L116" s="5"/>
    </row>
    <row r="117">
      <c r="H117" s="4"/>
      <c r="I117" s="4"/>
      <c r="J117" s="4"/>
      <c r="K117" s="4"/>
      <c r="L117" s="5"/>
    </row>
    <row r="118">
      <c r="H118" s="4"/>
      <c r="I118" s="4"/>
      <c r="J118" s="4"/>
      <c r="K118" s="4"/>
      <c r="L118" s="5"/>
    </row>
    <row r="119">
      <c r="H119" s="4"/>
      <c r="I119" s="4"/>
      <c r="J119" s="4"/>
      <c r="K119" s="4"/>
      <c r="L119" s="5"/>
    </row>
    <row r="120">
      <c r="H120" s="4"/>
      <c r="I120" s="4"/>
      <c r="J120" s="4"/>
      <c r="K120" s="4"/>
      <c r="L120" s="5"/>
    </row>
    <row r="121">
      <c r="H121" s="4"/>
      <c r="I121" s="4"/>
      <c r="J121" s="4"/>
      <c r="K121" s="4"/>
      <c r="L121" s="5"/>
    </row>
    <row r="122">
      <c r="H122" s="4"/>
      <c r="I122" s="4"/>
      <c r="J122" s="4"/>
      <c r="K122" s="4"/>
      <c r="L122" s="5"/>
    </row>
    <row r="123">
      <c r="H123" s="4"/>
      <c r="I123" s="4"/>
      <c r="J123" s="4"/>
      <c r="K123" s="4"/>
      <c r="L123" s="5"/>
    </row>
    <row r="124">
      <c r="H124" s="4"/>
      <c r="I124" s="4"/>
      <c r="J124" s="4"/>
      <c r="K124" s="4"/>
      <c r="L124" s="5"/>
    </row>
    <row r="125">
      <c r="H125" s="4"/>
      <c r="I125" s="4"/>
      <c r="J125" s="4"/>
      <c r="K125" s="4"/>
      <c r="L125" s="5"/>
    </row>
    <row r="126">
      <c r="H126" s="4"/>
      <c r="I126" s="4"/>
      <c r="J126" s="4"/>
      <c r="K126" s="4"/>
      <c r="L126" s="5"/>
    </row>
    <row r="127">
      <c r="H127" s="4"/>
      <c r="I127" s="4"/>
      <c r="J127" s="4"/>
      <c r="K127" s="4"/>
      <c r="L127" s="5"/>
    </row>
    <row r="128">
      <c r="H128" s="4"/>
      <c r="I128" s="4"/>
      <c r="J128" s="4"/>
      <c r="K128" s="4"/>
      <c r="L128" s="5"/>
    </row>
    <row r="129">
      <c r="H129" s="4"/>
      <c r="I129" s="4"/>
      <c r="J129" s="4"/>
      <c r="K129" s="4"/>
      <c r="L129" s="5"/>
    </row>
    <row r="130">
      <c r="H130" s="4"/>
      <c r="I130" s="4"/>
      <c r="J130" s="4"/>
      <c r="K130" s="4"/>
      <c r="L130" s="5"/>
    </row>
    <row r="131">
      <c r="H131" s="4"/>
      <c r="I131" s="4"/>
      <c r="J131" s="4"/>
      <c r="K131" s="4"/>
      <c r="L131" s="5"/>
    </row>
    <row r="132">
      <c r="H132" s="4"/>
      <c r="I132" s="4"/>
      <c r="J132" s="4"/>
      <c r="K132" s="4"/>
      <c r="L132" s="5"/>
    </row>
    <row r="133">
      <c r="H133" s="4"/>
      <c r="I133" s="4"/>
      <c r="J133" s="4"/>
      <c r="K133" s="4"/>
      <c r="L133" s="5"/>
    </row>
    <row r="134">
      <c r="H134" s="4"/>
      <c r="I134" s="4"/>
      <c r="J134" s="4"/>
      <c r="K134" s="4"/>
      <c r="L134" s="5"/>
    </row>
    <row r="135">
      <c r="H135" s="4"/>
      <c r="I135" s="4"/>
      <c r="J135" s="4"/>
      <c r="K135" s="4"/>
      <c r="L135" s="5"/>
    </row>
    <row r="136">
      <c r="H136" s="4"/>
      <c r="I136" s="4"/>
      <c r="J136" s="4"/>
      <c r="K136" s="4"/>
      <c r="L136" s="5"/>
    </row>
    <row r="137">
      <c r="H137" s="4"/>
      <c r="I137" s="4"/>
      <c r="J137" s="4"/>
      <c r="K137" s="4"/>
      <c r="L137" s="5"/>
    </row>
    <row r="138">
      <c r="H138" s="4"/>
      <c r="I138" s="4"/>
      <c r="J138" s="4"/>
      <c r="K138" s="4"/>
      <c r="L138" s="5"/>
    </row>
    <row r="139">
      <c r="H139" s="4"/>
      <c r="I139" s="4"/>
      <c r="J139" s="4"/>
      <c r="K139" s="4"/>
      <c r="L139" s="5"/>
    </row>
    <row r="140">
      <c r="H140" s="4"/>
      <c r="I140" s="4"/>
      <c r="J140" s="4"/>
      <c r="K140" s="4"/>
      <c r="L140" s="5"/>
    </row>
    <row r="141">
      <c r="H141" s="4"/>
      <c r="I141" s="4"/>
      <c r="J141" s="4"/>
      <c r="K141" s="4"/>
      <c r="L141" s="5"/>
    </row>
    <row r="142">
      <c r="H142" s="4"/>
      <c r="I142" s="4"/>
      <c r="J142" s="4"/>
      <c r="K142" s="4"/>
      <c r="L142" s="5"/>
    </row>
    <row r="143">
      <c r="H143" s="4"/>
      <c r="I143" s="4"/>
      <c r="J143" s="4"/>
      <c r="K143" s="4"/>
      <c r="L143" s="5"/>
    </row>
  </sheetData>
  <mergeCells count="21">
    <mergeCell ref="C10:C11"/>
    <mergeCell ref="E10:I10"/>
    <mergeCell ref="B10:B11"/>
    <mergeCell ref="C12:C14"/>
    <mergeCell ref="C15:C17"/>
    <mergeCell ref="C18:C20"/>
    <mergeCell ref="C21:C23"/>
    <mergeCell ref="C24:C26"/>
    <mergeCell ref="B27:B41"/>
    <mergeCell ref="C27:C29"/>
    <mergeCell ref="C30:C32"/>
    <mergeCell ref="C33:C35"/>
    <mergeCell ref="C36:C38"/>
    <mergeCell ref="C39:C41"/>
    <mergeCell ref="A2:C2"/>
    <mergeCell ref="A3:B3"/>
    <mergeCell ref="A4:B4"/>
    <mergeCell ref="A5:B5"/>
    <mergeCell ref="A6:B6"/>
    <mergeCell ref="A7:B7"/>
    <mergeCell ref="B12:B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9.71"/>
  </cols>
  <sheetData>
    <row r="1">
      <c r="A1" s="1" t="s">
        <v>0</v>
      </c>
      <c r="B1" s="2">
        <v>2003.0</v>
      </c>
    </row>
    <row r="2">
      <c r="A2" s="6" t="s">
        <v>1</v>
      </c>
      <c r="B2" s="7"/>
      <c r="C2" s="8"/>
    </row>
    <row r="3">
      <c r="A3" s="10" t="s">
        <v>2</v>
      </c>
      <c r="B3" s="8"/>
      <c r="C3" s="11" t="s">
        <v>3</v>
      </c>
    </row>
    <row r="4">
      <c r="A4" s="10" t="s">
        <v>4</v>
      </c>
      <c r="B4" s="8"/>
      <c r="C4" s="12">
        <v>1.0E-5</v>
      </c>
    </row>
    <row r="5">
      <c r="A5" s="10" t="s">
        <v>5</v>
      </c>
      <c r="B5" s="8"/>
      <c r="C5" s="11" t="s">
        <v>55</v>
      </c>
    </row>
    <row r="6">
      <c r="A6" s="10" t="s">
        <v>7</v>
      </c>
      <c r="B6" s="8"/>
      <c r="C6" s="11" t="s">
        <v>21</v>
      </c>
    </row>
    <row r="7">
      <c r="A7" s="10" t="s">
        <v>9</v>
      </c>
      <c r="B7" s="8"/>
      <c r="C7" s="11" t="s">
        <v>10</v>
      </c>
    </row>
    <row r="10">
      <c r="B10" s="56" t="s">
        <v>12</v>
      </c>
      <c r="C10" s="56" t="s">
        <v>13</v>
      </c>
      <c r="D10" s="56" t="s">
        <v>14</v>
      </c>
      <c r="E10" s="57" t="s">
        <v>24</v>
      </c>
      <c r="F10" s="58"/>
      <c r="G10" s="58"/>
      <c r="H10" s="58"/>
      <c r="I10" s="59"/>
    </row>
    <row r="11">
      <c r="B11" s="20"/>
      <c r="C11" s="20"/>
      <c r="D11" s="60"/>
      <c r="E11" s="61">
        <v>64.0</v>
      </c>
      <c r="F11" s="62">
        <v>256.0</v>
      </c>
      <c r="G11" s="62">
        <v>512.0</v>
      </c>
      <c r="H11" s="62">
        <v>1024.0</v>
      </c>
      <c r="I11" s="63">
        <v>1500.0</v>
      </c>
    </row>
    <row r="12">
      <c r="B12" s="64" t="s">
        <v>16</v>
      </c>
      <c r="C12" s="65" t="s">
        <v>17</v>
      </c>
      <c r="D12" s="66" t="s">
        <v>57</v>
      </c>
      <c r="E12" s="68">
        <f>'vRouter DPDK Intel 82599 ES  - '!E12</f>
        <v>3.6</v>
      </c>
      <c r="F12" s="68">
        <f>'vRouter DPDK Intel 82599 ES  - '!F12</f>
        <v>11.8</v>
      </c>
      <c r="G12" s="68">
        <f>'vRouter DPDK Intel 82599 ES  - '!G12</f>
        <v>19.8</v>
      </c>
      <c r="H12" s="68">
        <f>'vRouter DPDK Intel 82599 ES  - '!H12</f>
        <v>27.8</v>
      </c>
      <c r="I12" s="72">
        <f>'vRouter DPDK Intel 82599 ES  - '!I12</f>
        <v>31.8</v>
      </c>
    </row>
    <row r="13">
      <c r="B13" s="28"/>
      <c r="C13" s="29"/>
      <c r="D13" s="73" t="s">
        <v>25</v>
      </c>
      <c r="E13" s="68">
        <f>'vRouter DPDK Intel X710  - 2+2H'!E12</f>
        <v>3.8</v>
      </c>
      <c r="F13" s="68">
        <f>'vRouter DPDK Intel X710  - 2+2H'!F12</f>
        <v>11.8</v>
      </c>
      <c r="G13" s="68">
        <f>'vRouter DPDK Intel X710  - 2+2H'!G12</f>
        <v>21.2</v>
      </c>
      <c r="H13" s="68">
        <f>'vRouter DPDK Intel X710  - 2+2H'!H12</f>
        <v>36.6</v>
      </c>
      <c r="I13" s="72">
        <f>'vRouter DPDK Intel X710  - 2+2H'!I12</f>
        <v>38.4</v>
      </c>
    </row>
    <row r="14">
      <c r="B14" s="28"/>
      <c r="C14" s="32"/>
      <c r="D14" s="73" t="s">
        <v>6</v>
      </c>
      <c r="E14" s="75">
        <f>'vRouter DPDK Intel XXV710  - 2+'!E12</f>
        <v>3.4</v>
      </c>
      <c r="F14" s="75">
        <f>'vRouter DPDK Intel XXV710  - 2+'!F12</f>
        <v>10.6</v>
      </c>
      <c r="G14" s="75">
        <f>'vRouter DPDK Intel XXV710  - 2+'!G12</f>
        <v>19.2</v>
      </c>
      <c r="H14" s="75">
        <f>'vRouter DPDK Intel XXV710  - 2+'!H12</f>
        <v>32.6</v>
      </c>
      <c r="I14" s="77">
        <f>'vRouter DPDK Intel XXV710  - 2+'!I12</f>
        <v>38.6</v>
      </c>
    </row>
    <row r="15">
      <c r="B15" s="28"/>
      <c r="C15" s="78" t="s">
        <v>23</v>
      </c>
      <c r="D15" s="66" t="s">
        <v>57</v>
      </c>
      <c r="E15" s="79">
        <f t="shared" ref="E15:I15" si="1">E12/2</f>
        <v>1.8</v>
      </c>
      <c r="F15" s="80">
        <f t="shared" si="1"/>
        <v>5.9</v>
      </c>
      <c r="G15" s="80">
        <f t="shared" si="1"/>
        <v>9.9</v>
      </c>
      <c r="H15" s="80">
        <f t="shared" si="1"/>
        <v>13.9</v>
      </c>
      <c r="I15" s="81">
        <f t="shared" si="1"/>
        <v>15.9</v>
      </c>
    </row>
    <row r="16">
      <c r="B16" s="28"/>
      <c r="C16" s="29"/>
      <c r="D16" s="73" t="s">
        <v>25</v>
      </c>
      <c r="E16" s="79">
        <f t="shared" ref="E16:I16" si="2">E13/2</f>
        <v>1.9</v>
      </c>
      <c r="F16" s="80">
        <f t="shared" si="2"/>
        <v>5.9</v>
      </c>
      <c r="G16" s="80">
        <f t="shared" si="2"/>
        <v>10.6</v>
      </c>
      <c r="H16" s="80">
        <f t="shared" si="2"/>
        <v>18.3</v>
      </c>
      <c r="I16" s="81">
        <f t="shared" si="2"/>
        <v>19.2</v>
      </c>
    </row>
    <row r="17">
      <c r="B17" s="28"/>
      <c r="C17" s="32"/>
      <c r="D17" s="73" t="s">
        <v>6</v>
      </c>
      <c r="E17" s="79">
        <f t="shared" ref="E17:I17" si="3">E14/2</f>
        <v>1.7</v>
      </c>
      <c r="F17" s="80">
        <f t="shared" si="3"/>
        <v>5.3</v>
      </c>
      <c r="G17" s="80">
        <f t="shared" si="3"/>
        <v>9.6</v>
      </c>
      <c r="H17" s="80">
        <f t="shared" si="3"/>
        <v>16.3</v>
      </c>
      <c r="I17" s="81">
        <f t="shared" si="3"/>
        <v>19.3</v>
      </c>
    </row>
    <row r="18">
      <c r="B18" s="28"/>
      <c r="C18" s="78" t="s">
        <v>26</v>
      </c>
      <c r="D18" s="66" t="s">
        <v>57</v>
      </c>
      <c r="E18" s="82">
        <f>'vRouter DPDK Intel 82599 ES  - '!E18</f>
        <v>5.494</v>
      </c>
      <c r="F18" s="82">
        <f>'vRouter DPDK Intel 82599 ES  - '!F18</f>
        <v>5.324</v>
      </c>
      <c r="G18" s="82">
        <f>'vRouter DPDK Intel 82599 ES  - '!G18</f>
        <v>4.652</v>
      </c>
      <c r="H18" s="82">
        <f>'vRouter DPDK Intel 82599 ES  - '!H18</f>
        <v>3.326</v>
      </c>
      <c r="I18" s="83">
        <f>'vRouter DPDK Intel 82599 ES  - '!I18</f>
        <v>2.618</v>
      </c>
    </row>
    <row r="19">
      <c r="B19" s="28"/>
      <c r="C19" s="29"/>
      <c r="D19" s="73" t="s">
        <v>25</v>
      </c>
      <c r="E19" s="68">
        <f>'vRouter DPDK Intel X710  - 2+2H'!E18</f>
        <v>5.522</v>
      </c>
      <c r="F19" s="68">
        <f>'vRouter DPDK Intel X710  - 2+2H'!F18</f>
        <v>5.326</v>
      </c>
      <c r="G19" s="68">
        <f>'vRouter DPDK Intel X710  - 2+2H'!G18</f>
        <v>4.988</v>
      </c>
      <c r="H19" s="68">
        <f>'vRouter DPDK Intel X710  - 2+2H'!H18</f>
        <v>4.388</v>
      </c>
      <c r="I19" s="72">
        <f>'vRouter DPDK Intel X710  - 2+2H'!I18</f>
        <v>3.16</v>
      </c>
    </row>
    <row r="20">
      <c r="B20" s="28"/>
      <c r="C20" s="32"/>
      <c r="D20" s="73" t="s">
        <v>6</v>
      </c>
      <c r="E20" s="68">
        <f>'vRouter DPDK Intel XXV710  - 2+'!E18</f>
        <v>5.058</v>
      </c>
      <c r="F20" s="68">
        <f>'vRouter DPDK Intel XXV710  - 2+'!F18</f>
        <v>4.83</v>
      </c>
      <c r="G20" s="68">
        <f>'vRouter DPDK Intel XXV710  - 2+'!G18</f>
        <v>4.506</v>
      </c>
      <c r="H20" s="68">
        <f>'vRouter DPDK Intel XXV710  - 2+'!H18</f>
        <v>3.908</v>
      </c>
      <c r="I20" s="72">
        <f>'vRouter DPDK Intel XXV710  - 2+'!I18</f>
        <v>3.176</v>
      </c>
    </row>
    <row r="21">
      <c r="B21" s="28"/>
      <c r="C21" s="78" t="s">
        <v>27</v>
      </c>
      <c r="D21" s="66" t="s">
        <v>57</v>
      </c>
      <c r="E21" s="79">
        <f t="shared" ref="E21:I21" si="4">E18/2</f>
        <v>2.747</v>
      </c>
      <c r="F21" s="80">
        <f t="shared" si="4"/>
        <v>2.662</v>
      </c>
      <c r="G21" s="80">
        <f t="shared" si="4"/>
        <v>2.326</v>
      </c>
      <c r="H21" s="80">
        <f t="shared" si="4"/>
        <v>1.663</v>
      </c>
      <c r="I21" s="81">
        <f t="shared" si="4"/>
        <v>1.309</v>
      </c>
    </row>
    <row r="22">
      <c r="B22" s="28"/>
      <c r="C22" s="29"/>
      <c r="D22" s="73" t="s">
        <v>25</v>
      </c>
      <c r="E22" s="79">
        <f t="shared" ref="E22:I22" si="5">E19/2</f>
        <v>2.761</v>
      </c>
      <c r="F22" s="80">
        <f t="shared" si="5"/>
        <v>2.663</v>
      </c>
      <c r="G22" s="80">
        <f t="shared" si="5"/>
        <v>2.494</v>
      </c>
      <c r="H22" s="80">
        <f t="shared" si="5"/>
        <v>2.194</v>
      </c>
      <c r="I22" s="81">
        <f t="shared" si="5"/>
        <v>1.58</v>
      </c>
    </row>
    <row r="23">
      <c r="B23" s="28"/>
      <c r="C23" s="32"/>
      <c r="D23" s="73" t="s">
        <v>6</v>
      </c>
      <c r="E23" s="79">
        <f t="shared" ref="E23:I23" si="6">E20/2</f>
        <v>2.529</v>
      </c>
      <c r="F23" s="80">
        <f t="shared" si="6"/>
        <v>2.415</v>
      </c>
      <c r="G23" s="80">
        <f t="shared" si="6"/>
        <v>2.253</v>
      </c>
      <c r="H23" s="80">
        <f t="shared" si="6"/>
        <v>1.954</v>
      </c>
      <c r="I23" s="81">
        <f t="shared" si="6"/>
        <v>1.588</v>
      </c>
    </row>
    <row r="24">
      <c r="B24" s="28"/>
      <c r="C24" s="78" t="s">
        <v>28</v>
      </c>
      <c r="D24" s="66" t="s">
        <v>57</v>
      </c>
      <c r="E24" s="85">
        <f>'vRouter DPDK Intel 82599 ES  - '!E24</f>
        <v>862</v>
      </c>
      <c r="F24" s="85">
        <f>'vRouter DPDK Intel 82599 ES  - '!F24</f>
        <v>628</v>
      </c>
      <c r="G24" s="85">
        <f>'vRouter DPDK Intel 82599 ES  - '!G24</f>
        <v>191</v>
      </c>
      <c r="H24" s="85">
        <f>'vRouter DPDK Intel 82599 ES  - '!H24</f>
        <v>142</v>
      </c>
      <c r="I24" s="86">
        <f>'vRouter DPDK Intel 82599 ES  - '!I24</f>
        <v>130</v>
      </c>
    </row>
    <row r="25">
      <c r="B25" s="28"/>
      <c r="C25" s="29"/>
      <c r="D25" s="73" t="s">
        <v>25</v>
      </c>
      <c r="E25" s="85">
        <f>'vRouter DPDK Intel X710  - 2+2H'!E24</f>
        <v>718</v>
      </c>
      <c r="F25" s="85">
        <f>'vRouter DPDK Intel X710  - 2+2H'!F24</f>
        <v>487</v>
      </c>
      <c r="G25" s="85">
        <f>'vRouter DPDK Intel X710  - 2+2H'!G24</f>
        <v>379</v>
      </c>
      <c r="H25" s="85">
        <f>'vRouter DPDK Intel X710  - 2+2H'!H24</f>
        <v>286</v>
      </c>
      <c r="I25" s="86">
        <f>'vRouter DPDK Intel X710  - 2+2H'!I24</f>
        <v>228</v>
      </c>
    </row>
    <row r="26">
      <c r="B26" s="42"/>
      <c r="C26" s="43"/>
      <c r="D26" s="87" t="s">
        <v>6</v>
      </c>
      <c r="E26" s="88">
        <f>'vRouter DPDK Intel XXV710  - 2+'!E24</f>
        <v>871</v>
      </c>
      <c r="F26" s="88">
        <f>'vRouter DPDK Intel XXV710  - 2+'!F24</f>
        <v>775</v>
      </c>
      <c r="G26" s="88">
        <f>'vRouter DPDK Intel XXV710  - 2+'!G24</f>
        <v>565</v>
      </c>
      <c r="H26" s="88">
        <f>'vRouter DPDK Intel XXV710  - 2+'!H24</f>
        <v>297</v>
      </c>
      <c r="I26" s="89">
        <f>'vRouter DPDK Intel XXV710  - 2+'!I24</f>
        <v>265</v>
      </c>
    </row>
    <row r="27">
      <c r="B27" s="90" t="s">
        <v>29</v>
      </c>
      <c r="C27" s="91" t="s">
        <v>17</v>
      </c>
      <c r="D27" s="92" t="s">
        <v>57</v>
      </c>
      <c r="E27" s="93">
        <f>'vRouter DPDK Intel 82599 ES  - '!E30</f>
        <v>2.4</v>
      </c>
      <c r="F27" s="93">
        <f>'vRouter DPDK Intel 82599 ES  - '!F30</f>
        <v>7.8</v>
      </c>
      <c r="G27" s="93">
        <f>'vRouter DPDK Intel 82599 ES  - '!G30</f>
        <v>14.2</v>
      </c>
      <c r="H27" s="93">
        <f>'vRouter DPDK Intel 82599 ES  - '!H30</f>
        <v>24.6</v>
      </c>
      <c r="I27" s="94">
        <f>'vRouter DPDK Intel 82599 ES  - '!I30</f>
        <v>31.2</v>
      </c>
    </row>
    <row r="28">
      <c r="B28" s="28"/>
      <c r="C28" s="29"/>
      <c r="D28" s="73" t="s">
        <v>25</v>
      </c>
      <c r="E28" s="68">
        <f>'vRouter DPDK Intel X710  - 2+2H'!E27</f>
        <v>2.4</v>
      </c>
      <c r="F28" s="68">
        <f>'vRouter DPDK Intel X710  - 2+2H'!F27</f>
        <v>7.6</v>
      </c>
      <c r="G28" s="68">
        <f>'vRouter DPDK Intel X710  - 2+2H'!G27</f>
        <v>14</v>
      </c>
      <c r="H28" s="68">
        <f>'vRouter DPDK Intel X710  - 2+2H'!H27</f>
        <v>24.4</v>
      </c>
      <c r="I28" s="72">
        <f>'vRouter DPDK Intel X710  - 2+2H'!I27</f>
        <v>32.6</v>
      </c>
    </row>
    <row r="29">
      <c r="B29" s="28"/>
      <c r="C29" s="32"/>
      <c r="D29" s="73" t="s">
        <v>6</v>
      </c>
      <c r="E29" s="75">
        <f>'vRouter DPDK Intel XXV710  - 2+'!E27</f>
        <v>2.4</v>
      </c>
      <c r="F29" s="75">
        <f>'vRouter DPDK Intel XXV710  - 2+'!F27</f>
        <v>7.2</v>
      </c>
      <c r="G29" s="75">
        <f>'vRouter DPDK Intel XXV710  - 2+'!G27</f>
        <v>13.2</v>
      </c>
      <c r="H29" s="75">
        <f>'vRouter DPDK Intel XXV710  - 2+'!H27</f>
        <v>22.8</v>
      </c>
      <c r="I29" s="77">
        <f>'vRouter DPDK Intel XXV710  - 2+'!I27</f>
        <v>30.8</v>
      </c>
    </row>
    <row r="30">
      <c r="B30" s="28"/>
      <c r="C30" s="78" t="s">
        <v>23</v>
      </c>
      <c r="D30" s="66" t="s">
        <v>57</v>
      </c>
      <c r="E30" s="79">
        <f t="shared" ref="E30:I30" si="7">E27/2</f>
        <v>1.2</v>
      </c>
      <c r="F30" s="80">
        <f t="shared" si="7"/>
        <v>3.9</v>
      </c>
      <c r="G30" s="80">
        <f t="shared" si="7"/>
        <v>7.1</v>
      </c>
      <c r="H30" s="80">
        <f t="shared" si="7"/>
        <v>12.3</v>
      </c>
      <c r="I30" s="81">
        <f t="shared" si="7"/>
        <v>15.6</v>
      </c>
    </row>
    <row r="31">
      <c r="B31" s="28"/>
      <c r="C31" s="29"/>
      <c r="D31" s="73" t="s">
        <v>25</v>
      </c>
      <c r="E31" s="79">
        <f t="shared" ref="E31:I31" si="8">E28/2</f>
        <v>1.2</v>
      </c>
      <c r="F31" s="80">
        <f t="shared" si="8"/>
        <v>3.8</v>
      </c>
      <c r="G31" s="80">
        <f t="shared" si="8"/>
        <v>7</v>
      </c>
      <c r="H31" s="80">
        <f t="shared" si="8"/>
        <v>12.2</v>
      </c>
      <c r="I31" s="81">
        <f t="shared" si="8"/>
        <v>16.3</v>
      </c>
    </row>
    <row r="32">
      <c r="B32" s="28"/>
      <c r="C32" s="32"/>
      <c r="D32" s="73" t="s">
        <v>6</v>
      </c>
      <c r="E32" s="79">
        <f t="shared" ref="E32:I32" si="9">E29/2</f>
        <v>1.2</v>
      </c>
      <c r="F32" s="80">
        <f t="shared" si="9"/>
        <v>3.6</v>
      </c>
      <c r="G32" s="80">
        <f t="shared" si="9"/>
        <v>6.6</v>
      </c>
      <c r="H32" s="80">
        <f t="shared" si="9"/>
        <v>11.4</v>
      </c>
      <c r="I32" s="81">
        <f t="shared" si="9"/>
        <v>15.4</v>
      </c>
    </row>
    <row r="33">
      <c r="B33" s="28"/>
      <c r="C33" s="78" t="s">
        <v>26</v>
      </c>
      <c r="D33" s="66" t="s">
        <v>57</v>
      </c>
      <c r="E33" s="82">
        <f>'vRouter DPDK Intel 82599 ES  - '!E36</f>
        <v>3.574</v>
      </c>
      <c r="F33" s="82">
        <f>'vRouter DPDK Intel 82599 ES  - '!F36</f>
        <v>3.494</v>
      </c>
      <c r="G33" s="82">
        <f>'vRouter DPDK Intel 82599 ES  - '!G36</f>
        <v>3.314</v>
      </c>
      <c r="H33" s="82">
        <f>'vRouter DPDK Intel 82599 ES  - '!H36</f>
        <v>2.948</v>
      </c>
      <c r="I33" s="83">
        <f>'vRouter DPDK Intel 82599 ES  - '!I36</f>
        <v>2.564</v>
      </c>
    </row>
    <row r="34">
      <c r="B34" s="28"/>
      <c r="C34" s="29"/>
      <c r="D34" s="73" t="s">
        <v>25</v>
      </c>
      <c r="E34" s="68">
        <f>'vRouter DPDK Intel X710  - 2+2H'!E33</f>
        <v>3.574</v>
      </c>
      <c r="F34" s="68">
        <f>'vRouter DPDK Intel X710  - 2+2H'!F33</f>
        <v>3.486</v>
      </c>
      <c r="G34" s="68">
        <f>'vRouter DPDK Intel X710  - 2+2H'!G33</f>
        <v>3.304</v>
      </c>
      <c r="H34" s="68">
        <f>'vRouter DPDK Intel X710  - 2+2H'!H33</f>
        <v>2.916</v>
      </c>
      <c r="I34" s="72">
        <f>'vRouter DPDK Intel X710  - 2+2H'!I33</f>
        <v>2.68</v>
      </c>
    </row>
    <row r="35">
      <c r="B35" s="28"/>
      <c r="C35" s="32"/>
      <c r="D35" s="73" t="s">
        <v>6</v>
      </c>
      <c r="E35" s="68">
        <f>'vRouter DPDK Intel XXV710  - 2+'!E33</f>
        <v>3.43</v>
      </c>
      <c r="F35" s="68">
        <f>'vRouter DPDK Intel XXV710  - 2+'!F33</f>
        <v>3.272</v>
      </c>
      <c r="G35" s="68">
        <f>'vRouter DPDK Intel XXV710  - 2+'!G33</f>
        <v>3.094</v>
      </c>
      <c r="H35" s="68">
        <f>'vRouter DPDK Intel XXV710  - 2+'!H33</f>
        <v>2.732</v>
      </c>
      <c r="I35" s="72">
        <f>'vRouter DPDK Intel XXV710  - 2+'!I33</f>
        <v>2.526</v>
      </c>
    </row>
    <row r="36">
      <c r="B36" s="28"/>
      <c r="C36" s="78" t="s">
        <v>27</v>
      </c>
      <c r="D36" s="66" t="s">
        <v>57</v>
      </c>
      <c r="E36" s="79">
        <f t="shared" ref="E36:I36" si="10">E33/2</f>
        <v>1.787</v>
      </c>
      <c r="F36" s="80">
        <f t="shared" si="10"/>
        <v>1.747</v>
      </c>
      <c r="G36" s="80">
        <f t="shared" si="10"/>
        <v>1.657</v>
      </c>
      <c r="H36" s="80">
        <f t="shared" si="10"/>
        <v>1.474</v>
      </c>
      <c r="I36" s="81">
        <f t="shared" si="10"/>
        <v>1.282</v>
      </c>
    </row>
    <row r="37">
      <c r="B37" s="28"/>
      <c r="C37" s="29"/>
      <c r="D37" s="73" t="s">
        <v>25</v>
      </c>
      <c r="E37" s="79">
        <f t="shared" ref="E37:I37" si="11">E34/2</f>
        <v>1.787</v>
      </c>
      <c r="F37" s="80">
        <f t="shared" si="11"/>
        <v>1.743</v>
      </c>
      <c r="G37" s="80">
        <f t="shared" si="11"/>
        <v>1.652</v>
      </c>
      <c r="H37" s="80">
        <f t="shared" si="11"/>
        <v>1.458</v>
      </c>
      <c r="I37" s="81">
        <f t="shared" si="11"/>
        <v>1.34</v>
      </c>
    </row>
    <row r="38">
      <c r="B38" s="28"/>
      <c r="C38" s="32"/>
      <c r="D38" s="73" t="s">
        <v>6</v>
      </c>
      <c r="E38" s="79">
        <f t="shared" ref="E38:I38" si="12">E35/2</f>
        <v>1.715</v>
      </c>
      <c r="F38" s="80">
        <f t="shared" si="12"/>
        <v>1.636</v>
      </c>
      <c r="G38" s="80">
        <f t="shared" si="12"/>
        <v>1.547</v>
      </c>
      <c r="H38" s="80">
        <f t="shared" si="12"/>
        <v>1.366</v>
      </c>
      <c r="I38" s="81">
        <f t="shared" si="12"/>
        <v>1.263</v>
      </c>
    </row>
    <row r="39">
      <c r="B39" s="28"/>
      <c r="C39" s="78" t="s">
        <v>28</v>
      </c>
      <c r="D39" s="66" t="s">
        <v>57</v>
      </c>
      <c r="E39" s="85">
        <f>'vRouter DPDK Intel 82599 ES  - '!E42</f>
        <v>271</v>
      </c>
      <c r="F39" s="85">
        <f>'vRouter DPDK Intel 82599 ES  - '!F42</f>
        <v>321</v>
      </c>
      <c r="G39" s="85">
        <f>'vRouter DPDK Intel 82599 ES  - '!G42</f>
        <v>290</v>
      </c>
      <c r="H39" s="85">
        <f>'vRouter DPDK Intel 82599 ES  - '!H42</f>
        <v>257</v>
      </c>
      <c r="I39" s="86">
        <f>'vRouter DPDK Intel 82599 ES  - '!I42</f>
        <v>233</v>
      </c>
    </row>
    <row r="40">
      <c r="B40" s="28"/>
      <c r="C40" s="29"/>
      <c r="D40" s="73" t="s">
        <v>25</v>
      </c>
      <c r="E40" s="85">
        <f>'vRouter DPDK Intel X710  - 2+2H'!E39</f>
        <v>323</v>
      </c>
      <c r="F40" s="85">
        <f>'vRouter DPDK Intel X710  - 2+2H'!F39</f>
        <v>292</v>
      </c>
      <c r="G40" s="85">
        <f>'vRouter DPDK Intel X710  - 2+2H'!G39</f>
        <v>256</v>
      </c>
      <c r="H40" s="85">
        <f>'vRouter DPDK Intel X710  - 2+2H'!H39</f>
        <v>218</v>
      </c>
      <c r="I40" s="86">
        <f>'vRouter DPDK Intel X710  - 2+2H'!I39</f>
        <v>242</v>
      </c>
    </row>
    <row r="41">
      <c r="B41" s="42"/>
      <c r="C41" s="43"/>
      <c r="D41" s="87" t="s">
        <v>6</v>
      </c>
      <c r="E41" s="88">
        <f>'vRouter DPDK Intel XXV710  - 2+'!E39</f>
        <v>458</v>
      </c>
      <c r="F41" s="88">
        <f>'vRouter DPDK Intel XXV710  - 2+'!F39</f>
        <v>360</v>
      </c>
      <c r="G41" s="88">
        <f>'vRouter DPDK Intel XXV710  - 2+'!G39</f>
        <v>344</v>
      </c>
      <c r="H41" s="88">
        <f>'vRouter DPDK Intel XXV710  - 2+'!H39</f>
        <v>276</v>
      </c>
      <c r="I41" s="89">
        <f>'vRouter DPDK Intel XXV710  - 2+'!I39</f>
        <v>276</v>
      </c>
    </row>
  </sheetData>
  <mergeCells count="21">
    <mergeCell ref="C10:C11"/>
    <mergeCell ref="E10:I10"/>
    <mergeCell ref="B10:B11"/>
    <mergeCell ref="C12:C14"/>
    <mergeCell ref="C15:C17"/>
    <mergeCell ref="C18:C20"/>
    <mergeCell ref="C21:C23"/>
    <mergeCell ref="C24:C26"/>
    <mergeCell ref="B27:B41"/>
    <mergeCell ref="C27:C29"/>
    <mergeCell ref="C30:C32"/>
    <mergeCell ref="C33:C35"/>
    <mergeCell ref="C36:C38"/>
    <mergeCell ref="C39:C41"/>
    <mergeCell ref="A2:C2"/>
    <mergeCell ref="A3:B3"/>
    <mergeCell ref="A4:B4"/>
    <mergeCell ref="A5:B5"/>
    <mergeCell ref="A6:B6"/>
    <mergeCell ref="A7:B7"/>
    <mergeCell ref="B12:B2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75"/>
  <cols>
    <col customWidth="1" min="1" max="1" width="16.43"/>
    <col customWidth="1" min="2" max="2" width="15.43"/>
    <col customWidth="1" min="3" max="3" width="32.0"/>
    <col customWidth="1" min="4" max="4" width="85.43"/>
    <col customWidth="1" min="8" max="8" width="20.86"/>
    <col customWidth="1" min="12" max="12" width="21.57"/>
  </cols>
  <sheetData>
    <row r="1">
      <c r="A1" s="1" t="s">
        <v>0</v>
      </c>
      <c r="B1" s="2">
        <v>2003.0</v>
      </c>
      <c r="D1" s="47"/>
      <c r="E1" s="47"/>
      <c r="F1" s="48"/>
      <c r="G1" s="47"/>
      <c r="H1" s="47"/>
      <c r="I1" s="47"/>
      <c r="J1" s="49"/>
      <c r="K1" s="47"/>
      <c r="L1" s="47"/>
    </row>
    <row r="2">
      <c r="A2" s="6" t="s">
        <v>1</v>
      </c>
      <c r="B2" s="7"/>
      <c r="C2" s="8"/>
      <c r="D2" s="47"/>
      <c r="E2" s="47"/>
      <c r="F2" s="48"/>
      <c r="G2" s="47"/>
      <c r="H2" s="47"/>
      <c r="I2" s="47"/>
      <c r="J2" s="49"/>
      <c r="K2" s="47"/>
      <c r="L2" s="47"/>
    </row>
    <row r="3">
      <c r="A3" s="10" t="s">
        <v>2</v>
      </c>
      <c r="B3" s="8"/>
      <c r="C3" s="11" t="s">
        <v>3</v>
      </c>
      <c r="D3" s="47"/>
      <c r="E3" s="47"/>
      <c r="F3" s="48"/>
      <c r="G3" s="47"/>
      <c r="H3" s="47"/>
      <c r="I3" s="47"/>
      <c r="J3" s="49"/>
      <c r="K3" s="47"/>
      <c r="L3" s="47"/>
    </row>
    <row r="4">
      <c r="A4" s="10" t="s">
        <v>4</v>
      </c>
      <c r="B4" s="8"/>
      <c r="C4" s="12">
        <v>1.0E-5</v>
      </c>
      <c r="D4" s="47"/>
      <c r="E4" s="47"/>
      <c r="F4" s="48"/>
      <c r="G4" s="47"/>
      <c r="H4" s="47"/>
      <c r="I4" s="47"/>
      <c r="J4" s="49"/>
      <c r="K4" s="47"/>
      <c r="L4" s="47"/>
    </row>
    <row r="5">
      <c r="A5" s="10" t="s">
        <v>5</v>
      </c>
      <c r="B5" s="8"/>
      <c r="C5" s="11" t="s">
        <v>25</v>
      </c>
      <c r="D5" s="47"/>
      <c r="E5" s="47"/>
      <c r="F5" s="48"/>
      <c r="G5" s="47"/>
      <c r="H5" s="47"/>
      <c r="I5" s="47"/>
      <c r="J5" s="49"/>
      <c r="K5" s="47"/>
      <c r="L5" s="47"/>
    </row>
    <row r="6">
      <c r="A6" s="10" t="s">
        <v>7</v>
      </c>
      <c r="B6" s="8"/>
      <c r="C6" s="11" t="s">
        <v>21</v>
      </c>
      <c r="D6" s="47"/>
      <c r="E6" s="47"/>
      <c r="F6" s="48"/>
      <c r="G6" s="47"/>
      <c r="H6" s="47"/>
      <c r="I6" s="47"/>
      <c r="J6" s="49"/>
      <c r="K6" s="47"/>
      <c r="L6" s="47"/>
    </row>
    <row r="7">
      <c r="A7" s="10" t="s">
        <v>9</v>
      </c>
      <c r="B7" s="8"/>
      <c r="C7" s="11" t="s">
        <v>10</v>
      </c>
      <c r="D7" s="47"/>
      <c r="E7" s="47"/>
      <c r="F7" s="48"/>
      <c r="G7" s="47"/>
      <c r="H7" s="47"/>
      <c r="I7" s="47"/>
      <c r="J7" s="49"/>
      <c r="K7" s="47"/>
      <c r="L7" s="47"/>
    </row>
    <row r="8">
      <c r="A8" s="10" t="s">
        <v>30</v>
      </c>
      <c r="B8" s="8"/>
      <c r="C8" s="11" t="s">
        <v>31</v>
      </c>
      <c r="D8" s="47"/>
      <c r="E8" s="47"/>
      <c r="F8" s="48"/>
      <c r="G8" s="47"/>
      <c r="H8" s="47"/>
      <c r="I8" s="47"/>
      <c r="J8" s="49"/>
      <c r="K8" s="47"/>
      <c r="L8" s="47"/>
    </row>
    <row r="9">
      <c r="A9" s="47"/>
      <c r="B9" s="47"/>
      <c r="C9" s="47"/>
      <c r="D9" s="47"/>
      <c r="E9" s="47"/>
      <c r="F9" s="48"/>
      <c r="G9" s="47"/>
      <c r="H9" s="47"/>
      <c r="I9" s="47"/>
      <c r="J9" s="49"/>
      <c r="K9" s="47"/>
      <c r="L9" s="47"/>
    </row>
    <row r="10">
      <c r="A10" s="47"/>
      <c r="B10" s="47"/>
      <c r="C10" s="47"/>
      <c r="D10" s="47"/>
      <c r="E10" s="47"/>
      <c r="F10" s="48"/>
      <c r="G10" s="47"/>
      <c r="H10" s="47"/>
      <c r="I10" s="47"/>
      <c r="J10" s="49"/>
      <c r="K10" s="47"/>
      <c r="L10" s="47"/>
    </row>
    <row r="11">
      <c r="A11" s="47"/>
      <c r="B11" s="47"/>
      <c r="C11" s="47"/>
      <c r="D11" s="47"/>
      <c r="E11" s="47"/>
      <c r="F11" s="48"/>
      <c r="G11" s="47"/>
      <c r="H11" s="47"/>
      <c r="I11" s="47"/>
      <c r="J11" s="49"/>
      <c r="K11" s="47"/>
      <c r="L11" s="47"/>
    </row>
    <row r="12">
      <c r="A12" s="47"/>
      <c r="B12" s="47"/>
      <c r="C12" s="47"/>
      <c r="D12" s="50" t="s">
        <v>32</v>
      </c>
      <c r="E12" s="50" t="s">
        <v>33</v>
      </c>
      <c r="F12" s="51" t="s">
        <v>34</v>
      </c>
      <c r="G12" s="50" t="s">
        <v>35</v>
      </c>
      <c r="H12" s="50" t="s">
        <v>36</v>
      </c>
      <c r="I12" s="50" t="s">
        <v>37</v>
      </c>
      <c r="J12" s="52" t="s">
        <v>38</v>
      </c>
      <c r="K12" s="50" t="s">
        <v>39</v>
      </c>
      <c r="L12" s="50" t="s">
        <v>40</v>
      </c>
    </row>
    <row r="13">
      <c r="A13" s="47"/>
      <c r="B13" s="47"/>
      <c r="C13" s="47"/>
      <c r="D13" s="50" t="s">
        <v>41</v>
      </c>
      <c r="E13" s="50">
        <v>16384.0</v>
      </c>
      <c r="F13" s="50">
        <v>64.0</v>
      </c>
      <c r="G13" s="53">
        <v>1.87499856162525</v>
      </c>
      <c r="H13" s="54">
        <v>2.79017643098996</v>
      </c>
      <c r="I13" s="50">
        <v>1056.0</v>
      </c>
      <c r="J13" s="50">
        <v>2277.0</v>
      </c>
      <c r="K13" s="50">
        <v>0.0</v>
      </c>
      <c r="L13" s="55">
        <v>0.0</v>
      </c>
    </row>
    <row r="14">
      <c r="A14" s="47"/>
      <c r="B14" s="47"/>
      <c r="C14" s="47"/>
      <c r="D14" s="50" t="s">
        <v>42</v>
      </c>
      <c r="E14" s="50">
        <v>16384.0</v>
      </c>
      <c r="F14" s="50">
        <v>64.0</v>
      </c>
      <c r="G14" s="53">
        <v>1.86914333406213</v>
      </c>
      <c r="H14" s="54">
        <v>2.78146329473531</v>
      </c>
      <c r="I14" s="50">
        <v>962.0</v>
      </c>
      <c r="J14" s="50">
        <v>1987.0</v>
      </c>
      <c r="K14" s="50">
        <v>0.0</v>
      </c>
      <c r="L14" s="55">
        <v>0.0</v>
      </c>
    </row>
    <row r="15">
      <c r="A15" s="47"/>
      <c r="B15" s="47"/>
      <c r="C15" s="47"/>
      <c r="D15" s="50" t="s">
        <v>43</v>
      </c>
      <c r="E15" s="50">
        <v>16384.0</v>
      </c>
      <c r="F15" s="50">
        <v>64.0</v>
      </c>
      <c r="G15" s="53">
        <v>1.86914322881481</v>
      </c>
      <c r="H15" s="54">
        <v>2.78146313811728</v>
      </c>
      <c r="I15" s="50">
        <v>948.0</v>
      </c>
      <c r="J15" s="50">
        <v>1747.0</v>
      </c>
      <c r="K15" s="50">
        <v>0.0</v>
      </c>
      <c r="L15" s="55">
        <v>0.0</v>
      </c>
    </row>
    <row r="16">
      <c r="A16" s="47"/>
      <c r="B16" s="47"/>
      <c r="C16" s="47"/>
      <c r="D16" s="50" t="s">
        <v>44</v>
      </c>
      <c r="E16" s="50">
        <v>16384.0</v>
      </c>
      <c r="F16" s="50">
        <v>64.0</v>
      </c>
      <c r="G16" s="53">
        <v>1.86914065537329</v>
      </c>
      <c r="H16" s="54">
        <v>2.78145930859121</v>
      </c>
      <c r="I16" s="50">
        <v>1044.0</v>
      </c>
      <c r="J16" s="50">
        <v>2144.0</v>
      </c>
      <c r="K16" s="50">
        <v>0.0</v>
      </c>
      <c r="L16" s="55">
        <v>0.0</v>
      </c>
    </row>
    <row r="17">
      <c r="A17" s="47"/>
      <c r="B17" s="47"/>
      <c r="C17" s="47"/>
      <c r="D17" s="50" t="s">
        <v>45</v>
      </c>
      <c r="E17" s="50">
        <v>16384.0</v>
      </c>
      <c r="F17" s="50">
        <v>64.0</v>
      </c>
      <c r="G17" s="53">
        <v>1.86913726182512</v>
      </c>
      <c r="H17" s="54">
        <v>2.78145425866834</v>
      </c>
      <c r="I17" s="50">
        <v>925.0</v>
      </c>
      <c r="J17" s="50">
        <v>2051.0</v>
      </c>
      <c r="K17" s="50">
        <v>0.0</v>
      </c>
      <c r="L17" s="55">
        <v>0.0</v>
      </c>
    </row>
    <row r="18">
      <c r="A18" s="47"/>
      <c r="B18" s="47"/>
      <c r="C18" s="47"/>
      <c r="D18" s="50" t="s">
        <v>46</v>
      </c>
      <c r="E18" s="50">
        <v>16384.0</v>
      </c>
      <c r="F18" s="50">
        <v>64.0</v>
      </c>
      <c r="G18" s="53">
        <v>1.86328165600232</v>
      </c>
      <c r="H18" s="54">
        <v>2.77274055952727</v>
      </c>
      <c r="I18" s="50">
        <v>1043.0</v>
      </c>
      <c r="J18" s="50">
        <v>2275.0</v>
      </c>
      <c r="K18" s="50">
        <v>0.0</v>
      </c>
      <c r="L18" s="55">
        <v>0.0</v>
      </c>
    </row>
    <row r="19">
      <c r="A19" s="47"/>
      <c r="B19" s="47"/>
      <c r="C19" s="47"/>
      <c r="D19" s="50" t="s">
        <v>47</v>
      </c>
      <c r="E19" s="50">
        <v>16384.0</v>
      </c>
      <c r="F19" s="50">
        <v>64.0</v>
      </c>
      <c r="G19" s="53">
        <v>1.86327750052113</v>
      </c>
      <c r="H19" s="54">
        <v>2.7727343757755</v>
      </c>
      <c r="I19" s="50">
        <v>980.0</v>
      </c>
      <c r="J19" s="50">
        <v>2203.0</v>
      </c>
      <c r="K19" s="50">
        <v>0.0</v>
      </c>
      <c r="L19" s="55">
        <v>0.0</v>
      </c>
    </row>
    <row r="20">
      <c r="A20" s="47"/>
      <c r="B20" s="47"/>
      <c r="C20" s="47"/>
      <c r="D20" s="50" t="s">
        <v>48</v>
      </c>
      <c r="E20" s="50">
        <v>16384.0</v>
      </c>
      <c r="F20" s="50">
        <v>64.0</v>
      </c>
      <c r="G20" s="53">
        <v>1.86327633533818</v>
      </c>
      <c r="H20" s="54">
        <v>2.77273264187229</v>
      </c>
      <c r="I20" s="50">
        <v>991.0</v>
      </c>
      <c r="J20" s="50">
        <v>1978.0</v>
      </c>
      <c r="K20" s="50">
        <v>0.0</v>
      </c>
      <c r="L20" s="55">
        <v>0.0</v>
      </c>
    </row>
    <row r="21">
      <c r="A21" s="47"/>
      <c r="B21" s="47"/>
      <c r="C21" s="47"/>
      <c r="D21" s="50" t="s">
        <v>49</v>
      </c>
      <c r="E21" s="50">
        <v>16384.0</v>
      </c>
      <c r="F21" s="50">
        <v>64.0</v>
      </c>
      <c r="G21" s="53">
        <v>1.8632725597874</v>
      </c>
      <c r="H21" s="54">
        <v>2.77272702349315</v>
      </c>
      <c r="I21" s="50">
        <v>996.0</v>
      </c>
      <c r="J21" s="50">
        <v>2191.0</v>
      </c>
      <c r="K21" s="50">
        <v>0.0</v>
      </c>
      <c r="L21" s="55">
        <v>0.0</v>
      </c>
    </row>
    <row r="22">
      <c r="A22" s="47"/>
      <c r="B22" s="47"/>
      <c r="C22" s="47"/>
      <c r="D22" s="50" t="s">
        <v>50</v>
      </c>
      <c r="E22" s="50">
        <v>16384.0</v>
      </c>
      <c r="F22" s="50">
        <v>64.0</v>
      </c>
      <c r="G22" s="53">
        <v>1.86326534261904</v>
      </c>
      <c r="H22" s="54">
        <v>2.77271628365929</v>
      </c>
      <c r="I22" s="50">
        <v>887.0</v>
      </c>
      <c r="J22" s="50">
        <v>2353.0</v>
      </c>
      <c r="K22" s="50">
        <v>0.0</v>
      </c>
      <c r="L22" s="55">
        <v>0.0</v>
      </c>
    </row>
    <row r="23">
      <c r="A23" s="47"/>
      <c r="B23" s="47"/>
      <c r="C23" s="47"/>
      <c r="D23" s="50" t="s">
        <v>51</v>
      </c>
      <c r="E23" s="50">
        <v>16384.0</v>
      </c>
      <c r="F23" s="50">
        <v>64.0</v>
      </c>
      <c r="G23" s="53">
        <v>1.85741862933188</v>
      </c>
      <c r="H23" s="54">
        <v>2.76401581745815</v>
      </c>
      <c r="I23" s="50">
        <v>968.0</v>
      </c>
      <c r="J23" s="50">
        <v>2320.0</v>
      </c>
      <c r="K23" s="50">
        <v>0.0</v>
      </c>
      <c r="L23" s="55">
        <v>0.0</v>
      </c>
    </row>
    <row r="24">
      <c r="A24" s="47"/>
      <c r="B24" s="47"/>
      <c r="C24" s="47"/>
      <c r="D24" s="50" t="s">
        <v>52</v>
      </c>
      <c r="E24" s="50">
        <v>16384.0</v>
      </c>
      <c r="F24" s="50">
        <v>64.0</v>
      </c>
      <c r="G24" s="53">
        <v>1.83984456128681</v>
      </c>
      <c r="H24" s="54">
        <v>2.73786393048632</v>
      </c>
      <c r="I24" s="50">
        <v>980.0</v>
      </c>
      <c r="J24" s="50">
        <v>2591.0</v>
      </c>
      <c r="K24" s="50">
        <v>2.0</v>
      </c>
      <c r="L24" s="55">
        <v>2.22193524694099E-6</v>
      </c>
    </row>
    <row r="28">
      <c r="A28" s="14"/>
      <c r="B28" s="14"/>
      <c r="C28" s="14"/>
      <c r="D28" s="14" t="s">
        <v>53</v>
      </c>
    </row>
    <row r="29">
      <c r="A29" s="49"/>
      <c r="B29" s="49"/>
      <c r="C29" s="49"/>
      <c r="D29" s="49" t="s">
        <v>54</v>
      </c>
    </row>
    <row r="31">
      <c r="A31" s="14"/>
      <c r="B31" s="14"/>
      <c r="C31" s="14"/>
      <c r="D31" s="14"/>
    </row>
  </sheetData>
  <mergeCells count="7">
    <mergeCell ref="A2:C2"/>
    <mergeCell ref="A3:B3"/>
    <mergeCell ref="A4:B4"/>
    <mergeCell ref="A5:B5"/>
    <mergeCell ref="A6:B6"/>
    <mergeCell ref="A7:B7"/>
    <mergeCell ref="A8:B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12.43"/>
    <col customWidth="1" min="3" max="3" width="26.86"/>
    <col customWidth="1" min="4" max="4" width="96.43"/>
    <col customWidth="1" min="12" max="12" width="21.14"/>
    <col customWidth="1" min="14" max="14" width="28.71"/>
    <col customWidth="1" min="15" max="15" width="21.14"/>
  </cols>
  <sheetData>
    <row r="1">
      <c r="A1" s="1" t="s">
        <v>0</v>
      </c>
      <c r="B1" s="2">
        <v>2003.0</v>
      </c>
      <c r="D1" s="14"/>
      <c r="E1" s="14"/>
      <c r="F1" s="14"/>
      <c r="G1" s="67"/>
      <c r="H1" s="67"/>
      <c r="I1" s="14"/>
      <c r="J1" s="14"/>
      <c r="K1" s="14"/>
      <c r="L1" s="69"/>
    </row>
    <row r="2">
      <c r="A2" s="6" t="s">
        <v>1</v>
      </c>
      <c r="B2" s="7"/>
      <c r="C2" s="8"/>
      <c r="D2" s="14"/>
      <c r="E2" s="14"/>
      <c r="F2" s="14"/>
      <c r="G2" s="67"/>
      <c r="H2" s="67"/>
      <c r="I2" s="14"/>
      <c r="J2" s="14"/>
      <c r="K2" s="14"/>
      <c r="L2" s="69"/>
    </row>
    <row r="3">
      <c r="A3" s="10" t="s">
        <v>2</v>
      </c>
      <c r="B3" s="8"/>
      <c r="C3" s="11" t="s">
        <v>3</v>
      </c>
      <c r="D3" s="14"/>
      <c r="E3" s="14"/>
      <c r="F3" s="14"/>
      <c r="G3" s="67"/>
      <c r="H3" s="67"/>
      <c r="I3" s="14"/>
      <c r="J3" s="14"/>
      <c r="K3" s="14"/>
      <c r="L3" s="69"/>
    </row>
    <row r="4">
      <c r="A4" s="10" t="s">
        <v>4</v>
      </c>
      <c r="B4" s="8"/>
      <c r="C4" s="12">
        <v>1.0E-5</v>
      </c>
      <c r="D4" s="14"/>
      <c r="E4" s="14"/>
      <c r="F4" s="14"/>
      <c r="G4" s="67"/>
      <c r="H4" s="67"/>
      <c r="I4" s="14"/>
      <c r="J4" s="14"/>
      <c r="K4" s="14"/>
      <c r="L4" s="69"/>
    </row>
    <row r="5">
      <c r="A5" s="10" t="s">
        <v>5</v>
      </c>
      <c r="B5" s="8"/>
      <c r="C5" s="11" t="s">
        <v>25</v>
      </c>
      <c r="D5" s="14"/>
      <c r="E5" s="14"/>
      <c r="F5" s="14"/>
      <c r="G5" s="67"/>
      <c r="H5" s="67"/>
      <c r="I5" s="14"/>
      <c r="J5" s="14"/>
      <c r="K5" s="14"/>
      <c r="L5" s="69"/>
    </row>
    <row r="6">
      <c r="A6" s="10" t="s">
        <v>7</v>
      </c>
      <c r="B6" s="8"/>
      <c r="C6" s="11" t="s">
        <v>21</v>
      </c>
      <c r="D6" s="14"/>
      <c r="E6" s="14"/>
      <c r="F6" s="14"/>
      <c r="G6" s="67"/>
      <c r="H6" s="67"/>
      <c r="I6" s="14"/>
      <c r="J6" s="14"/>
      <c r="K6" s="14"/>
      <c r="L6" s="69"/>
    </row>
    <row r="7">
      <c r="A7" s="10" t="s">
        <v>9</v>
      </c>
      <c r="B7" s="8"/>
      <c r="C7" s="11" t="s">
        <v>10</v>
      </c>
      <c r="D7" s="14"/>
      <c r="E7" s="14"/>
      <c r="F7" s="14"/>
      <c r="G7" s="67"/>
      <c r="H7" s="67"/>
      <c r="I7" s="14"/>
      <c r="J7" s="14"/>
      <c r="K7" s="14"/>
      <c r="L7" s="69"/>
    </row>
    <row r="8">
      <c r="A8" s="10" t="s">
        <v>30</v>
      </c>
      <c r="B8" s="8"/>
      <c r="C8" s="11" t="s">
        <v>31</v>
      </c>
      <c r="D8" s="14"/>
      <c r="E8" s="14"/>
      <c r="F8" s="14"/>
      <c r="G8" s="67"/>
      <c r="H8" s="67"/>
      <c r="I8" s="14"/>
      <c r="J8" s="14"/>
      <c r="K8" s="14"/>
      <c r="L8" s="69"/>
    </row>
    <row r="9">
      <c r="A9" s="14"/>
      <c r="B9" s="14"/>
      <c r="C9" s="14"/>
      <c r="D9" s="50" t="s">
        <v>58</v>
      </c>
      <c r="E9" s="50" t="s">
        <v>33</v>
      </c>
      <c r="F9" s="50" t="s">
        <v>34</v>
      </c>
      <c r="G9" s="53" t="s">
        <v>35</v>
      </c>
      <c r="H9" s="54" t="s">
        <v>36</v>
      </c>
      <c r="I9" s="50" t="s">
        <v>37</v>
      </c>
      <c r="J9" s="50" t="s">
        <v>38</v>
      </c>
      <c r="K9" s="50" t="s">
        <v>39</v>
      </c>
      <c r="L9" s="74" t="s">
        <v>40</v>
      </c>
    </row>
    <row r="10">
      <c r="A10" s="14"/>
      <c r="B10" s="14"/>
      <c r="C10" s="14"/>
      <c r="D10" s="50" t="s">
        <v>59</v>
      </c>
      <c r="E10" s="50">
        <v>16384.0</v>
      </c>
      <c r="F10" s="50">
        <v>64.0</v>
      </c>
      <c r="G10" s="53">
        <v>1.39648265925672</v>
      </c>
      <c r="H10" s="54">
        <v>2.07809919532251</v>
      </c>
      <c r="I10" s="50">
        <v>99.0</v>
      </c>
      <c r="J10" s="50">
        <v>1348.0</v>
      </c>
      <c r="K10" s="50">
        <v>138.0</v>
      </c>
      <c r="L10" s="74">
        <v>1.05384804595571E-4</v>
      </c>
    </row>
    <row r="11">
      <c r="A11" s="14"/>
      <c r="B11" s="14"/>
      <c r="C11" s="14"/>
      <c r="D11" s="50" t="s">
        <v>59</v>
      </c>
      <c r="E11" s="50">
        <v>16384.0</v>
      </c>
      <c r="F11" s="50">
        <v>256.0</v>
      </c>
      <c r="G11" s="53">
        <v>4.31640715799926</v>
      </c>
      <c r="H11" s="54">
        <v>1.95489454619532</v>
      </c>
      <c r="I11" s="50">
        <v>99.0</v>
      </c>
      <c r="J11" s="50">
        <v>380.0</v>
      </c>
      <c r="K11" s="50">
        <v>0.0</v>
      </c>
      <c r="L11" s="74">
        <v>0.0</v>
      </c>
    </row>
    <row r="12">
      <c r="A12" s="14"/>
      <c r="B12" s="14"/>
      <c r="C12" s="14"/>
      <c r="D12" s="50" t="s">
        <v>59</v>
      </c>
      <c r="E12" s="50">
        <v>16384.0</v>
      </c>
      <c r="F12" s="50">
        <v>512.0</v>
      </c>
      <c r="G12" s="53">
        <v>7.53906316807344</v>
      </c>
      <c r="H12" s="54">
        <v>1.77139642106988</v>
      </c>
      <c r="I12" s="50">
        <v>99.0</v>
      </c>
      <c r="J12" s="50">
        <v>351.0</v>
      </c>
      <c r="K12" s="50">
        <v>0.0</v>
      </c>
      <c r="L12" s="74">
        <v>0.0</v>
      </c>
    </row>
    <row r="13">
      <c r="A13" s="14"/>
      <c r="B13" s="14"/>
      <c r="C13" s="14"/>
      <c r="D13" s="50" t="s">
        <v>59</v>
      </c>
      <c r="E13" s="50">
        <v>16384.0</v>
      </c>
      <c r="F13" s="50">
        <v>1024.0</v>
      </c>
      <c r="G13" s="53">
        <v>11.6796880803487</v>
      </c>
      <c r="H13" s="54">
        <v>1.39843008624865</v>
      </c>
      <c r="I13" s="50">
        <v>99.0</v>
      </c>
      <c r="J13" s="50">
        <v>369.0</v>
      </c>
      <c r="K13" s="50">
        <v>0.0</v>
      </c>
      <c r="L13" s="74">
        <v>0.0</v>
      </c>
    </row>
    <row r="14">
      <c r="A14" s="14"/>
      <c r="B14" s="14"/>
      <c r="C14" s="14"/>
      <c r="D14" s="50" t="s">
        <v>59</v>
      </c>
      <c r="E14" s="50">
        <v>16384.0</v>
      </c>
      <c r="F14" s="50">
        <v>1500.0</v>
      </c>
      <c r="G14" s="53">
        <v>12.8515630599108</v>
      </c>
      <c r="H14" s="54">
        <v>1.05687196216372</v>
      </c>
      <c r="I14" s="50">
        <v>99.0</v>
      </c>
      <c r="J14" s="50">
        <v>367.0</v>
      </c>
      <c r="K14" s="50">
        <v>0.0</v>
      </c>
      <c r="L14" s="74">
        <v>0.0</v>
      </c>
    </row>
    <row r="15">
      <c r="A15" s="14"/>
      <c r="B15" s="14"/>
      <c r="C15" s="14"/>
      <c r="D15" s="50" t="s">
        <v>60</v>
      </c>
      <c r="E15" s="50">
        <v>16384.0</v>
      </c>
      <c r="F15" s="50">
        <v>64.0</v>
      </c>
      <c r="G15" s="53">
        <v>1.75781236027881</v>
      </c>
      <c r="H15" s="54">
        <v>2.61579220279585</v>
      </c>
      <c r="I15" s="50">
        <v>149.0</v>
      </c>
      <c r="J15" s="50">
        <v>410.0</v>
      </c>
      <c r="K15" s="50">
        <v>0.0</v>
      </c>
      <c r="L15" s="74">
        <v>0.0</v>
      </c>
    </row>
    <row r="16">
      <c r="A16" s="14"/>
      <c r="B16" s="14"/>
      <c r="C16" s="14"/>
      <c r="D16" s="50" t="s">
        <v>60</v>
      </c>
      <c r="E16" s="50">
        <v>16384.0</v>
      </c>
      <c r="F16" s="50">
        <v>256.0</v>
      </c>
      <c r="G16" s="53">
        <v>5.48828041113028</v>
      </c>
      <c r="H16" s="54">
        <v>2.48563424417132</v>
      </c>
      <c r="I16" s="50">
        <v>149.0</v>
      </c>
      <c r="J16" s="50">
        <v>425.0</v>
      </c>
      <c r="K16" s="50">
        <v>1.0</v>
      </c>
      <c r="L16" s="74">
        <v>6.38452440317817E-7</v>
      </c>
    </row>
    <row r="17">
      <c r="A17" s="14"/>
      <c r="B17" s="14"/>
      <c r="C17" s="14"/>
      <c r="D17" s="50" t="s">
        <v>60</v>
      </c>
      <c r="E17" s="50">
        <v>16384.0</v>
      </c>
      <c r="F17" s="50">
        <v>512.0</v>
      </c>
      <c r="G17" s="53">
        <v>9.56054809610107</v>
      </c>
      <c r="H17" s="54">
        <v>2.24636938348239</v>
      </c>
      <c r="I17" s="50">
        <v>149.0</v>
      </c>
      <c r="J17" s="50">
        <v>394.0</v>
      </c>
      <c r="K17" s="50">
        <v>0.0</v>
      </c>
      <c r="L17" s="74">
        <v>0.0</v>
      </c>
    </row>
    <row r="18">
      <c r="A18" s="14"/>
      <c r="B18" s="14"/>
      <c r="C18" s="14"/>
      <c r="D18" s="50" t="s">
        <v>60</v>
      </c>
      <c r="E18" s="50">
        <v>16384.0</v>
      </c>
      <c r="F18" s="50">
        <v>1024.0</v>
      </c>
      <c r="G18" s="53">
        <v>15.4980469423787</v>
      </c>
      <c r="H18" s="54">
        <v>1.8556090687714</v>
      </c>
      <c r="I18" s="50">
        <v>149.0</v>
      </c>
      <c r="J18" s="50">
        <v>437.0</v>
      </c>
      <c r="K18" s="50">
        <v>0.0</v>
      </c>
      <c r="L18" s="74">
        <v>0.0</v>
      </c>
    </row>
    <row r="19">
      <c r="A19" s="14"/>
      <c r="B19" s="14"/>
      <c r="C19" s="14"/>
      <c r="D19" s="50" t="s">
        <v>60</v>
      </c>
      <c r="E19" s="50">
        <v>16384.0</v>
      </c>
      <c r="F19" s="50">
        <v>1500.0</v>
      </c>
      <c r="G19" s="53">
        <v>18.261719653211</v>
      </c>
      <c r="H19" s="54">
        <v>1.5017861556917</v>
      </c>
      <c r="I19" s="50">
        <v>149.0</v>
      </c>
      <c r="J19" s="50">
        <v>726.0</v>
      </c>
      <c r="K19" s="50">
        <v>0.0</v>
      </c>
      <c r="L19" s="74">
        <v>0.0</v>
      </c>
    </row>
    <row r="20">
      <c r="A20" s="14"/>
      <c r="B20" s="14"/>
      <c r="C20" s="14"/>
      <c r="D20" s="50" t="s">
        <v>61</v>
      </c>
      <c r="E20" s="50">
        <v>16384.0</v>
      </c>
      <c r="F20" s="50">
        <v>64.0</v>
      </c>
      <c r="G20" s="53">
        <v>1.79687669325155</v>
      </c>
      <c r="H20" s="54">
        <v>2.67392365067196</v>
      </c>
      <c r="I20" s="50">
        <v>178.0</v>
      </c>
      <c r="J20" s="50">
        <v>722.0</v>
      </c>
      <c r="K20" s="50">
        <v>0.0</v>
      </c>
      <c r="L20" s="74">
        <v>0.0</v>
      </c>
    </row>
    <row r="21">
      <c r="A21" s="14"/>
      <c r="B21" s="14"/>
      <c r="C21" s="14"/>
      <c r="D21" s="50" t="s">
        <v>61</v>
      </c>
      <c r="E21" s="50">
        <v>16384.0</v>
      </c>
      <c r="F21" s="50">
        <v>256.0</v>
      </c>
      <c r="G21" s="53">
        <v>5.72264654005348</v>
      </c>
      <c r="H21" s="54">
        <v>2.59177832429958</v>
      </c>
      <c r="I21" s="50">
        <v>194.0</v>
      </c>
      <c r="J21" s="50">
        <v>1296.0</v>
      </c>
      <c r="K21" s="50">
        <v>231.0</v>
      </c>
      <c r="L21" s="74">
        <v>1.41442260152777E-4</v>
      </c>
    </row>
    <row r="22">
      <c r="A22" s="14"/>
      <c r="B22" s="14"/>
      <c r="C22" s="14"/>
      <c r="D22" s="50" t="s">
        <v>61</v>
      </c>
      <c r="E22" s="50">
        <v>16384.0</v>
      </c>
      <c r="F22" s="50">
        <v>512.0</v>
      </c>
      <c r="G22" s="53">
        <v>10.4882836277271</v>
      </c>
      <c r="H22" s="54">
        <v>2.4643523561389</v>
      </c>
      <c r="I22" s="50">
        <v>198.0</v>
      </c>
      <c r="J22" s="50">
        <v>555.0</v>
      </c>
      <c r="K22" s="50">
        <v>1.0</v>
      </c>
      <c r="L22" s="74">
        <v>6.43982951092315E-7</v>
      </c>
    </row>
    <row r="23">
      <c r="A23" s="14"/>
      <c r="B23" s="14"/>
      <c r="C23" s="14"/>
      <c r="D23" s="50" t="s">
        <v>61</v>
      </c>
      <c r="E23" s="50">
        <v>16384.0</v>
      </c>
      <c r="F23" s="50">
        <v>1024.0</v>
      </c>
      <c r="G23" s="53">
        <v>12.2558599868367</v>
      </c>
      <c r="H23" s="54">
        <v>1.4674161861634</v>
      </c>
      <c r="I23" s="50">
        <v>103.0</v>
      </c>
      <c r="J23" s="50">
        <v>366.0</v>
      </c>
      <c r="K23" s="50">
        <v>0.0</v>
      </c>
      <c r="L23" s="74">
        <v>0.0</v>
      </c>
    </row>
    <row r="24">
      <c r="A24" s="14"/>
      <c r="B24" s="14"/>
      <c r="C24" s="14"/>
      <c r="D24" s="50" t="s">
        <v>61</v>
      </c>
      <c r="E24" s="50">
        <v>16384.0</v>
      </c>
      <c r="F24" s="50">
        <v>1500.0</v>
      </c>
      <c r="G24" s="53">
        <v>18.9746074042229</v>
      </c>
      <c r="H24" s="54">
        <v>1.56041179311043</v>
      </c>
      <c r="I24" s="50">
        <v>199.0</v>
      </c>
      <c r="J24" s="50">
        <v>599.0</v>
      </c>
      <c r="K24" s="50">
        <v>0.0</v>
      </c>
      <c r="L24" s="74">
        <v>0.0</v>
      </c>
    </row>
    <row r="25">
      <c r="D25" s="50" t="s">
        <v>62</v>
      </c>
      <c r="E25" s="50">
        <v>16384.0</v>
      </c>
      <c r="F25" s="50">
        <v>64.0</v>
      </c>
      <c r="G25" s="53">
        <f>'vRouter DPDK Intel X710  - 2+2H'!E15</f>
        <v>1.9</v>
      </c>
      <c r="H25" s="54">
        <f>'vRouter DPDK Intel X710  - 2+2H'!E21</f>
        <v>2.761</v>
      </c>
      <c r="I25" s="84">
        <f>'vRouter DPDK Intel X710  - 2+2H'!E26</f>
        <v>831</v>
      </c>
      <c r="J25" s="50"/>
      <c r="K25" s="50">
        <v>0.0</v>
      </c>
      <c r="L25" s="74">
        <v>0.0</v>
      </c>
    </row>
    <row r="26">
      <c r="D26" s="50" t="s">
        <v>62</v>
      </c>
      <c r="E26" s="50">
        <v>16384.0</v>
      </c>
      <c r="F26" s="50">
        <v>256.0</v>
      </c>
      <c r="G26" s="53">
        <f>'vRouter DPDK Intel X710  - 2+2H'!F15</f>
        <v>5.9</v>
      </c>
      <c r="H26" s="54">
        <f>'vRouter DPDK Intel X710  - 2+2H'!F21</f>
        <v>2.663</v>
      </c>
      <c r="I26" s="5">
        <f>'vRouter DPDK Intel X710  - 2+2H'!F26</f>
        <v>578</v>
      </c>
      <c r="J26" s="50"/>
      <c r="K26" s="50">
        <v>0.0</v>
      </c>
      <c r="L26" s="74">
        <v>0.0</v>
      </c>
    </row>
    <row r="27">
      <c r="D27" s="50" t="s">
        <v>62</v>
      </c>
      <c r="E27" s="50">
        <v>16384.0</v>
      </c>
      <c r="F27" s="50">
        <v>512.0</v>
      </c>
      <c r="G27" s="53">
        <f>'vRouter DPDK Intel X710  - 2+2H'!G15</f>
        <v>10.6</v>
      </c>
      <c r="H27" s="54">
        <f>'vRouter DPDK Intel X710  - 2+2H'!G21</f>
        <v>2.494</v>
      </c>
      <c r="I27" s="84">
        <f>'vRouter DPDK Intel X710  - 2+2H'!G26</f>
        <v>461</v>
      </c>
      <c r="J27" s="50"/>
      <c r="K27" s="50">
        <v>0.0</v>
      </c>
      <c r="L27" s="74">
        <v>0.0</v>
      </c>
    </row>
    <row r="28">
      <c r="D28" s="50" t="s">
        <v>62</v>
      </c>
      <c r="E28" s="50">
        <v>16384.0</v>
      </c>
      <c r="F28" s="50">
        <v>1024.0</v>
      </c>
      <c r="G28" s="53">
        <f>'vRouter DPDK Intel X710  - 2+2H'!H15</f>
        <v>18.3</v>
      </c>
      <c r="H28" s="54">
        <f>'vRouter DPDK Intel X710  - 2+2H'!H21</f>
        <v>2.194</v>
      </c>
      <c r="I28" s="84">
        <f>'vRouter DPDK Intel X710  - 2+2H'!H26</f>
        <v>184</v>
      </c>
      <c r="J28" s="50"/>
      <c r="K28" s="50">
        <v>0.0</v>
      </c>
      <c r="L28" s="74">
        <v>0.0</v>
      </c>
    </row>
    <row r="29">
      <c r="D29" s="50" t="s">
        <v>62</v>
      </c>
      <c r="E29" s="50">
        <v>16384.0</v>
      </c>
      <c r="F29" s="50">
        <v>1500.0</v>
      </c>
      <c r="G29" s="53">
        <f>'vRouter DPDK Intel X710  - 2+2H'!I15</f>
        <v>19.2</v>
      </c>
      <c r="H29" s="54">
        <f>'vRouter DPDK Intel X710  - 2+2H'!I21</f>
        <v>1.58</v>
      </c>
      <c r="I29" s="84">
        <f>'vRouter DPDK Intel X710  - 2+2H'!I26</f>
        <v>134</v>
      </c>
      <c r="J29" s="50"/>
      <c r="K29" s="50">
        <v>0.0</v>
      </c>
      <c r="L29" s="74">
        <v>0.0</v>
      </c>
    </row>
    <row r="30">
      <c r="D30" s="50" t="s">
        <v>63</v>
      </c>
      <c r="E30" s="50">
        <v>16384.0</v>
      </c>
      <c r="F30" s="50">
        <v>64.0</v>
      </c>
      <c r="G30" s="53">
        <v>0.6933593529287</v>
      </c>
      <c r="H30" s="54">
        <v>1.03178475138199</v>
      </c>
      <c r="I30" s="50">
        <v>77.0</v>
      </c>
      <c r="J30" s="50">
        <v>1344.0</v>
      </c>
      <c r="K30" s="50">
        <v>0.0</v>
      </c>
      <c r="L30" s="74">
        <v>0.0</v>
      </c>
    </row>
    <row r="31">
      <c r="D31" s="50" t="s">
        <v>63</v>
      </c>
      <c r="E31" s="50">
        <v>16384.0</v>
      </c>
      <c r="F31" s="50">
        <v>256.0</v>
      </c>
      <c r="G31" s="53">
        <v>2.84179575309196</v>
      </c>
      <c r="H31" s="54">
        <v>1.28704517803078</v>
      </c>
      <c r="I31" s="50">
        <v>99.0</v>
      </c>
      <c r="J31" s="50">
        <v>759.0</v>
      </c>
      <c r="K31" s="50">
        <v>1.0</v>
      </c>
      <c r="L31" s="74">
        <v>1.23302482394624E-6</v>
      </c>
    </row>
    <row r="32">
      <c r="D32" s="50" t="s">
        <v>63</v>
      </c>
      <c r="E32" s="50">
        <v>16384.0</v>
      </c>
      <c r="F32" s="50">
        <v>512.0</v>
      </c>
      <c r="G32" s="53">
        <v>5.04882763090582</v>
      </c>
      <c r="H32" s="54">
        <v>1.18628468771283</v>
      </c>
      <c r="I32" s="50">
        <v>99.0</v>
      </c>
      <c r="J32" s="50">
        <v>382.0</v>
      </c>
      <c r="K32" s="50">
        <v>0.0</v>
      </c>
      <c r="L32" s="74">
        <v>0.0</v>
      </c>
    </row>
    <row r="33">
      <c r="D33" s="50" t="s">
        <v>63</v>
      </c>
      <c r="E33" s="50">
        <v>16384.0</v>
      </c>
      <c r="F33" s="50">
        <v>1024.0</v>
      </c>
      <c r="G33" s="53">
        <v>8.11523475477075</v>
      </c>
      <c r="H33" s="54">
        <v>0.971651670829831</v>
      </c>
      <c r="I33" s="50">
        <v>99.0</v>
      </c>
      <c r="J33" s="50">
        <v>393.0</v>
      </c>
      <c r="K33" s="50">
        <v>0.0</v>
      </c>
      <c r="L33" s="74">
        <v>0.0</v>
      </c>
    </row>
    <row r="34">
      <c r="D34" s="50" t="s">
        <v>63</v>
      </c>
      <c r="E34" s="50">
        <v>16384.0</v>
      </c>
      <c r="F34" s="50">
        <v>1500.0</v>
      </c>
      <c r="G34" s="53">
        <v>9.09179905331186</v>
      </c>
      <c r="H34" s="54">
        <v>0.747680843199989</v>
      </c>
      <c r="I34" s="50">
        <v>99.0</v>
      </c>
      <c r="J34" s="50">
        <v>389.0</v>
      </c>
      <c r="K34" s="50">
        <v>0.0</v>
      </c>
      <c r="L34" s="74">
        <v>0.0</v>
      </c>
    </row>
    <row r="35">
      <c r="D35" s="50" t="s">
        <v>64</v>
      </c>
      <c r="E35" s="50">
        <v>16384.0</v>
      </c>
      <c r="F35" s="50">
        <v>64.0</v>
      </c>
      <c r="G35" s="53">
        <v>1.10351570814991</v>
      </c>
      <c r="H35" s="54">
        <v>1.64213647046118</v>
      </c>
      <c r="I35" s="50">
        <v>149.0</v>
      </c>
      <c r="J35" s="50">
        <v>405.0</v>
      </c>
      <c r="K35" s="50">
        <v>0.0</v>
      </c>
      <c r="L35" s="74">
        <v>0.0</v>
      </c>
    </row>
    <row r="36">
      <c r="D36" s="50" t="s">
        <v>64</v>
      </c>
      <c r="E36" s="50">
        <v>16384.0</v>
      </c>
      <c r="F36" s="50">
        <v>256.0</v>
      </c>
      <c r="G36" s="53">
        <v>3.49609359411007</v>
      </c>
      <c r="H36" s="54">
        <v>1.58337572197014</v>
      </c>
      <c r="I36" s="50">
        <v>149.0</v>
      </c>
      <c r="J36" s="50">
        <v>405.0</v>
      </c>
      <c r="K36" s="50">
        <v>0.0</v>
      </c>
      <c r="L36" s="74">
        <v>0.0</v>
      </c>
    </row>
    <row r="37">
      <c r="D37" s="50" t="s">
        <v>64</v>
      </c>
      <c r="E37" s="50">
        <v>16384.0</v>
      </c>
      <c r="F37" s="50">
        <v>512.0</v>
      </c>
      <c r="G37" s="53">
        <v>6.32812256979816</v>
      </c>
      <c r="H37" s="54">
        <v>1.48687090455784</v>
      </c>
      <c r="I37" s="50">
        <v>149.0</v>
      </c>
      <c r="J37" s="50">
        <v>413.0</v>
      </c>
      <c r="K37" s="50">
        <v>0.0</v>
      </c>
      <c r="L37" s="74">
        <v>0.0</v>
      </c>
    </row>
    <row r="38">
      <c r="D38" s="50" t="s">
        <v>64</v>
      </c>
      <c r="E38" s="50">
        <v>16384.0</v>
      </c>
      <c r="F38" s="50">
        <v>1024.0</v>
      </c>
      <c r="G38" s="53">
        <v>10.8398437256587</v>
      </c>
      <c r="H38" s="54">
        <v>1.29787400929821</v>
      </c>
      <c r="I38" s="50">
        <v>149.0</v>
      </c>
      <c r="J38" s="50">
        <v>434.0</v>
      </c>
      <c r="K38" s="50">
        <v>0.0</v>
      </c>
      <c r="L38" s="74">
        <v>0.0</v>
      </c>
    </row>
    <row r="39">
      <c r="D39" s="50" t="s">
        <v>64</v>
      </c>
      <c r="E39" s="50">
        <v>16384.0</v>
      </c>
      <c r="F39" s="50">
        <v>1500.0</v>
      </c>
      <c r="G39" s="53">
        <v>14.0624998399905</v>
      </c>
      <c r="H39" s="54">
        <v>1.15645557894659</v>
      </c>
      <c r="I39" s="50">
        <v>149.0</v>
      </c>
      <c r="J39" s="50">
        <v>1667.0</v>
      </c>
      <c r="K39" s="50">
        <v>0.0</v>
      </c>
      <c r="L39" s="74">
        <v>0.0</v>
      </c>
    </row>
    <row r="40">
      <c r="D40" s="50" t="s">
        <v>65</v>
      </c>
      <c r="E40" s="50">
        <v>16384.0</v>
      </c>
      <c r="F40" s="50">
        <v>64.0</v>
      </c>
      <c r="G40" s="53">
        <v>1.18163539370375</v>
      </c>
      <c r="H40" s="54">
        <v>1.75838600253534</v>
      </c>
      <c r="I40" s="50">
        <v>192.0</v>
      </c>
      <c r="J40" s="50">
        <v>2359.0</v>
      </c>
      <c r="K40" s="50">
        <v>440.0</v>
      </c>
      <c r="L40" s="74">
        <v>3.97101674011889E-4</v>
      </c>
    </row>
    <row r="41">
      <c r="D41" s="50" t="s">
        <v>65</v>
      </c>
      <c r="E41" s="50">
        <v>16384.0</v>
      </c>
      <c r="F41" s="50">
        <v>256.0</v>
      </c>
      <c r="G41" s="53">
        <v>3.79882518903566</v>
      </c>
      <c r="H41" s="54">
        <v>1.72048242257049</v>
      </c>
      <c r="I41" s="50">
        <v>199.0</v>
      </c>
      <c r="J41" s="50">
        <v>1384.0</v>
      </c>
      <c r="K41" s="50">
        <v>19.0</v>
      </c>
      <c r="L41" s="74">
        <v>1.75254348018866E-5</v>
      </c>
    </row>
    <row r="42">
      <c r="D42" s="50" t="s">
        <v>65</v>
      </c>
      <c r="E42" s="50">
        <v>16384.0</v>
      </c>
      <c r="F42" s="50">
        <v>512.0</v>
      </c>
      <c r="G42" s="53">
        <v>6.97265697517486</v>
      </c>
      <c r="H42" s="54">
        <v>1.63831225920462</v>
      </c>
      <c r="I42" s="50">
        <v>199.0</v>
      </c>
      <c r="J42" s="50">
        <v>733.0</v>
      </c>
      <c r="K42" s="50">
        <v>2.0</v>
      </c>
      <c r="L42" s="74">
        <v>1.93731334470252E-6</v>
      </c>
    </row>
    <row r="43">
      <c r="D43" s="50" t="s">
        <v>65</v>
      </c>
      <c r="E43" s="50">
        <v>16384.0</v>
      </c>
      <c r="F43" s="50">
        <v>1024.0</v>
      </c>
      <c r="G43" s="53">
        <v>12.0312496710582</v>
      </c>
      <c r="H43" s="54">
        <v>1.44052318858455</v>
      </c>
      <c r="I43" s="50">
        <v>199.0</v>
      </c>
      <c r="J43" s="50">
        <v>701.0</v>
      </c>
      <c r="K43" s="50">
        <v>0.0</v>
      </c>
      <c r="L43" s="74">
        <v>0.0</v>
      </c>
    </row>
    <row r="44">
      <c r="D44" s="50" t="s">
        <v>65</v>
      </c>
      <c r="E44" s="50">
        <v>16384.0</v>
      </c>
      <c r="F44" s="50">
        <v>1500.0</v>
      </c>
      <c r="G44" s="53">
        <v>15.6445269940167</v>
      </c>
      <c r="H44" s="54">
        <v>1.28655649621848</v>
      </c>
      <c r="I44" s="50">
        <v>199.0</v>
      </c>
      <c r="J44" s="50">
        <v>544.0</v>
      </c>
      <c r="K44" s="50">
        <v>0.0</v>
      </c>
      <c r="L44" s="74">
        <v>0.0</v>
      </c>
    </row>
    <row r="45">
      <c r="D45" s="50" t="s">
        <v>66</v>
      </c>
      <c r="E45" s="50">
        <v>16384.0</v>
      </c>
      <c r="F45" s="50">
        <v>64.0</v>
      </c>
      <c r="G45" s="53">
        <f>'vRouter DPDK Intel X710  - 2+2H'!E30</f>
        <v>1.2</v>
      </c>
      <c r="H45" s="54">
        <f>'vRouter DPDK Intel X710  - 2+2H'!E36</f>
        <v>1.787</v>
      </c>
      <c r="I45" s="84">
        <f>'vRouter DPDK Intel X710  - 2+2H'!E39</f>
        <v>323</v>
      </c>
      <c r="J45" s="50"/>
      <c r="K45" s="50">
        <v>0.0</v>
      </c>
      <c r="L45" s="74">
        <v>0.0</v>
      </c>
    </row>
    <row r="46">
      <c r="D46" s="50" t="s">
        <v>66</v>
      </c>
      <c r="E46" s="50">
        <v>16384.0</v>
      </c>
      <c r="F46" s="50">
        <v>256.0</v>
      </c>
      <c r="G46" s="53">
        <f>'vRouter DPDK Intel X710  - 2+2H'!F30</f>
        <v>3.8</v>
      </c>
      <c r="H46" s="54">
        <f>'vRouter DPDK Intel X710  - 2+2H'!F36</f>
        <v>1.743</v>
      </c>
      <c r="I46" s="5">
        <f>'vRouter DPDK Intel X710  - 2+2H'!F39</f>
        <v>292</v>
      </c>
      <c r="J46" s="50"/>
      <c r="K46" s="50">
        <v>0.0</v>
      </c>
      <c r="L46" s="74">
        <v>0.0</v>
      </c>
    </row>
    <row r="47">
      <c r="D47" s="50" t="s">
        <v>66</v>
      </c>
      <c r="E47" s="50">
        <v>16384.0</v>
      </c>
      <c r="F47" s="50">
        <v>512.0</v>
      </c>
      <c r="G47" s="53">
        <f>'vRouter DPDK Intel X710  - 2+2H'!G30</f>
        <v>7</v>
      </c>
      <c r="H47" s="54">
        <f>'vRouter DPDK Intel X710  - 2+2H'!G36</f>
        <v>1.652</v>
      </c>
      <c r="I47" s="84">
        <f>'vRouter DPDK Intel X710  - 2+2H'!G39</f>
        <v>256</v>
      </c>
      <c r="J47" s="50"/>
      <c r="K47" s="50">
        <v>0.0</v>
      </c>
      <c r="L47" s="74">
        <v>0.0</v>
      </c>
    </row>
    <row r="48">
      <c r="D48" s="50" t="s">
        <v>66</v>
      </c>
      <c r="E48" s="50">
        <v>16384.0</v>
      </c>
      <c r="F48" s="50">
        <v>1024.0</v>
      </c>
      <c r="G48" s="53">
        <f>'vRouter DPDK Intel X710  - 2+2H'!H30</f>
        <v>12.2</v>
      </c>
      <c r="H48" s="54">
        <f>'vRouter DPDK Intel X710  - 2+2H'!H36</f>
        <v>1.458</v>
      </c>
      <c r="I48" s="84">
        <f>'vRouter DPDK Intel X710  - 2+2H'!H39</f>
        <v>218</v>
      </c>
      <c r="J48" s="50"/>
      <c r="K48" s="50">
        <v>0.0</v>
      </c>
      <c r="L48" s="74">
        <v>0.0</v>
      </c>
    </row>
    <row r="49">
      <c r="D49" s="50" t="s">
        <v>66</v>
      </c>
      <c r="E49" s="50">
        <v>16384.0</v>
      </c>
      <c r="F49" s="50">
        <v>1500.0</v>
      </c>
      <c r="G49" s="53">
        <f>'vRouter DPDK Intel X710  - 2+2H'!I30</f>
        <v>16.3</v>
      </c>
      <c r="H49" s="54">
        <f>'vRouter DPDK Intel X710  - 2+2H'!I36</f>
        <v>1.34</v>
      </c>
      <c r="I49" s="84">
        <f>'vRouter DPDK Intel X710  - 2+2H'!I39</f>
        <v>242</v>
      </c>
      <c r="J49" s="50"/>
      <c r="K49" s="50">
        <v>0.0</v>
      </c>
      <c r="L49" s="74">
        <v>0.0</v>
      </c>
    </row>
    <row r="50">
      <c r="G50" s="95"/>
      <c r="H50" s="95"/>
      <c r="L50" s="96"/>
    </row>
    <row r="51">
      <c r="G51" s="95"/>
      <c r="H51" s="95"/>
      <c r="L51" s="96"/>
    </row>
    <row r="52">
      <c r="G52" s="95"/>
      <c r="H52" s="95"/>
      <c r="L52" s="96"/>
    </row>
    <row r="53">
      <c r="G53" s="95"/>
      <c r="H53" s="95"/>
      <c r="L53" s="96"/>
      <c r="M53" s="56" t="s">
        <v>12</v>
      </c>
      <c r="N53" s="56" t="s">
        <v>13</v>
      </c>
      <c r="O53" s="56" t="s">
        <v>67</v>
      </c>
      <c r="P53" s="57" t="s">
        <v>24</v>
      </c>
      <c r="Q53" s="58"/>
      <c r="R53" s="58"/>
      <c r="S53" s="58"/>
      <c r="T53" s="59"/>
    </row>
    <row r="54">
      <c r="G54" s="95"/>
      <c r="H54" s="95"/>
      <c r="L54" s="96"/>
      <c r="M54" s="20"/>
      <c r="N54" s="20"/>
      <c r="O54" s="60"/>
      <c r="P54" s="61">
        <v>64.0</v>
      </c>
      <c r="Q54" s="62">
        <v>256.0</v>
      </c>
      <c r="R54" s="62">
        <v>512.0</v>
      </c>
      <c r="S54" s="62">
        <v>1024.0</v>
      </c>
      <c r="T54" s="63">
        <v>1500.0</v>
      </c>
    </row>
    <row r="55">
      <c r="G55" s="95"/>
      <c r="H55" s="95"/>
      <c r="L55" s="96"/>
      <c r="M55" s="64" t="s">
        <v>16</v>
      </c>
      <c r="N55" s="65" t="s">
        <v>17</v>
      </c>
      <c r="O55" s="66">
        <v>100.0</v>
      </c>
      <c r="P55" s="68">
        <f t="shared" ref="P55:T55" si="1">P59*2</f>
        <v>2.792965319</v>
      </c>
      <c r="Q55" s="68">
        <f t="shared" si="1"/>
        <v>8.632814316</v>
      </c>
      <c r="R55" s="68">
        <f t="shared" si="1"/>
        <v>15.07812634</v>
      </c>
      <c r="S55" s="68">
        <f t="shared" si="1"/>
        <v>23.35937616</v>
      </c>
      <c r="T55" s="72">
        <f t="shared" si="1"/>
        <v>25.70312612</v>
      </c>
    </row>
    <row r="56">
      <c r="G56" s="95"/>
      <c r="H56" s="95"/>
      <c r="L56" s="96"/>
      <c r="M56" s="28"/>
      <c r="N56" s="29"/>
      <c r="O56" s="73">
        <v>150.0</v>
      </c>
      <c r="P56" s="68">
        <f t="shared" ref="P56:T56" si="2">P60*2</f>
        <v>3.515624721</v>
      </c>
      <c r="Q56" s="68">
        <f t="shared" si="2"/>
        <v>10.97656082</v>
      </c>
      <c r="R56" s="68">
        <f t="shared" si="2"/>
        <v>19.12109619</v>
      </c>
      <c r="S56" s="68">
        <f t="shared" si="2"/>
        <v>30.99609388</v>
      </c>
      <c r="T56" s="72">
        <f t="shared" si="2"/>
        <v>36.52343931</v>
      </c>
    </row>
    <row r="57">
      <c r="G57" s="95"/>
      <c r="H57" s="95"/>
      <c r="L57" s="96"/>
      <c r="M57" s="28"/>
      <c r="N57" s="29"/>
      <c r="O57" s="73">
        <v>200.0</v>
      </c>
      <c r="P57" s="68">
        <f t="shared" ref="P57:T57" si="3">P61*2</f>
        <v>3.593753387</v>
      </c>
      <c r="Q57" s="68">
        <f t="shared" si="3"/>
        <v>11.44529308</v>
      </c>
      <c r="R57" s="68">
        <f t="shared" si="3"/>
        <v>20.97656726</v>
      </c>
      <c r="S57" s="68">
        <f t="shared" si="3"/>
        <v>24.51171997</v>
      </c>
      <c r="T57" s="72">
        <f t="shared" si="3"/>
        <v>37.94921481</v>
      </c>
    </row>
    <row r="58">
      <c r="G58" s="95"/>
      <c r="H58" s="95"/>
      <c r="L58" s="96"/>
      <c r="M58" s="28"/>
      <c r="N58" s="32"/>
      <c r="O58" s="73">
        <v>1000.0</v>
      </c>
      <c r="P58" s="68">
        <f t="shared" ref="P58:T58" si="4">P62*2</f>
        <v>3.8</v>
      </c>
      <c r="Q58" s="68">
        <f t="shared" si="4"/>
        <v>11.8</v>
      </c>
      <c r="R58" s="68">
        <f t="shared" si="4"/>
        <v>21.2</v>
      </c>
      <c r="S58" s="68">
        <f t="shared" si="4"/>
        <v>36.6</v>
      </c>
      <c r="T58" s="72">
        <f t="shared" si="4"/>
        <v>38.4</v>
      </c>
    </row>
    <row r="59">
      <c r="G59" s="95"/>
      <c r="H59" s="95"/>
      <c r="L59" s="96"/>
      <c r="M59" s="28"/>
      <c r="N59" s="78" t="s">
        <v>23</v>
      </c>
      <c r="O59" s="66">
        <v>100.0</v>
      </c>
      <c r="P59" s="79">
        <f>G10</f>
        <v>1.396482659</v>
      </c>
      <c r="Q59" s="80">
        <f>G11</f>
        <v>4.316407158</v>
      </c>
      <c r="R59" s="80">
        <f>G12</f>
        <v>7.539063168</v>
      </c>
      <c r="S59" s="80">
        <f>G13</f>
        <v>11.67968808</v>
      </c>
      <c r="T59" s="81">
        <f>G14</f>
        <v>12.85156306</v>
      </c>
    </row>
    <row r="60">
      <c r="G60" s="95"/>
      <c r="H60" s="95"/>
      <c r="L60" s="96"/>
      <c r="M60" s="28"/>
      <c r="N60" s="29"/>
      <c r="O60" s="73">
        <v>150.0</v>
      </c>
      <c r="P60" s="79">
        <f>G15</f>
        <v>1.75781236</v>
      </c>
      <c r="Q60" s="80">
        <f>G16</f>
        <v>5.488280411</v>
      </c>
      <c r="R60" s="80">
        <f>G17</f>
        <v>9.560548096</v>
      </c>
      <c r="S60" s="80">
        <f>G18</f>
        <v>15.49804694</v>
      </c>
      <c r="T60" s="81">
        <f>G19</f>
        <v>18.26171965</v>
      </c>
    </row>
    <row r="61">
      <c r="G61" s="95"/>
      <c r="H61" s="95"/>
      <c r="L61" s="96"/>
      <c r="M61" s="28"/>
      <c r="N61" s="29"/>
      <c r="O61" s="73">
        <v>200.0</v>
      </c>
      <c r="P61" s="79">
        <f>G20</f>
        <v>1.796876693</v>
      </c>
      <c r="Q61" s="80">
        <f>G21</f>
        <v>5.72264654</v>
      </c>
      <c r="R61" s="80">
        <f>G22</f>
        <v>10.48828363</v>
      </c>
      <c r="S61" s="80">
        <f>G23</f>
        <v>12.25585999</v>
      </c>
      <c r="T61" s="81">
        <f>G24</f>
        <v>18.9746074</v>
      </c>
    </row>
    <row r="62">
      <c r="G62" s="95"/>
      <c r="H62" s="95"/>
      <c r="L62" s="96"/>
      <c r="M62" s="28"/>
      <c r="N62" s="32"/>
      <c r="O62" s="73">
        <v>1000.0</v>
      </c>
      <c r="P62" s="79">
        <f>G25</f>
        <v>1.9</v>
      </c>
      <c r="Q62" s="80">
        <f>G26</f>
        <v>5.9</v>
      </c>
      <c r="R62" s="80">
        <f>G27</f>
        <v>10.6</v>
      </c>
      <c r="S62" s="80">
        <f>G28</f>
        <v>18.3</v>
      </c>
      <c r="T62" s="81">
        <f>G29</f>
        <v>19.2</v>
      </c>
    </row>
    <row r="63">
      <c r="G63" s="95"/>
      <c r="H63" s="95"/>
      <c r="L63" s="96"/>
      <c r="M63" s="28"/>
      <c r="N63" s="78" t="s">
        <v>26</v>
      </c>
      <c r="O63" s="66">
        <v>100.0</v>
      </c>
      <c r="P63" s="68">
        <f t="shared" ref="P63:T63" si="5">P67*2</f>
        <v>4.156198391</v>
      </c>
      <c r="Q63" s="68">
        <f t="shared" si="5"/>
        <v>3.909789092</v>
      </c>
      <c r="R63" s="68">
        <f t="shared" si="5"/>
        <v>3.542792842</v>
      </c>
      <c r="S63" s="68">
        <f t="shared" si="5"/>
        <v>2.796860172</v>
      </c>
      <c r="T63" s="72">
        <f t="shared" si="5"/>
        <v>2.113743924</v>
      </c>
    </row>
    <row r="64">
      <c r="G64" s="95"/>
      <c r="H64" s="95"/>
      <c r="L64" s="96"/>
      <c r="M64" s="28"/>
      <c r="N64" s="29"/>
      <c r="O64" s="73">
        <v>150.0</v>
      </c>
      <c r="P64" s="68">
        <f t="shared" ref="P64:T64" si="6">P68*2</f>
        <v>5.231584406</v>
      </c>
      <c r="Q64" s="68">
        <f t="shared" si="6"/>
        <v>4.971268488</v>
      </c>
      <c r="R64" s="68">
        <f t="shared" si="6"/>
        <v>4.492738767</v>
      </c>
      <c r="S64" s="68">
        <f t="shared" si="6"/>
        <v>3.711218138</v>
      </c>
      <c r="T64" s="72">
        <f t="shared" si="6"/>
        <v>3.003572311</v>
      </c>
    </row>
    <row r="65">
      <c r="G65" s="95"/>
      <c r="H65" s="95"/>
      <c r="L65" s="96"/>
      <c r="M65" s="28"/>
      <c r="N65" s="29"/>
      <c r="O65" s="73">
        <v>200.0</v>
      </c>
      <c r="P65" s="68">
        <f t="shared" ref="P65:T65" si="7">P69*2</f>
        <v>5.347847301</v>
      </c>
      <c r="Q65" s="68">
        <f t="shared" si="7"/>
        <v>5.183556649</v>
      </c>
      <c r="R65" s="68">
        <f t="shared" si="7"/>
        <v>4.928704712</v>
      </c>
      <c r="S65" s="68">
        <f t="shared" si="7"/>
        <v>2.934832372</v>
      </c>
      <c r="T65" s="72">
        <f t="shared" si="7"/>
        <v>3.120823586</v>
      </c>
    </row>
    <row r="66">
      <c r="G66" s="95"/>
      <c r="H66" s="95"/>
      <c r="L66" s="96"/>
      <c r="M66" s="28"/>
      <c r="N66" s="32"/>
      <c r="O66" s="73">
        <v>1000.0</v>
      </c>
      <c r="P66" s="68">
        <f t="shared" ref="P66:T66" si="8">P70*2</f>
        <v>5.522</v>
      </c>
      <c r="Q66" s="68">
        <f t="shared" si="8"/>
        <v>5.326</v>
      </c>
      <c r="R66" s="68">
        <f t="shared" si="8"/>
        <v>4.988</v>
      </c>
      <c r="S66" s="68">
        <f t="shared" si="8"/>
        <v>4.388</v>
      </c>
      <c r="T66" s="72">
        <f t="shared" si="8"/>
        <v>3.16</v>
      </c>
    </row>
    <row r="67">
      <c r="G67" s="95"/>
      <c r="H67" s="95"/>
      <c r="L67" s="96"/>
      <c r="M67" s="28"/>
      <c r="N67" s="78" t="s">
        <v>27</v>
      </c>
      <c r="O67" s="66">
        <v>100.0</v>
      </c>
      <c r="P67" s="79">
        <f>H10</f>
        <v>2.078099195</v>
      </c>
      <c r="Q67" s="80">
        <f>H11</f>
        <v>1.954894546</v>
      </c>
      <c r="R67" s="80">
        <f>H12</f>
        <v>1.771396421</v>
      </c>
      <c r="S67" s="80">
        <f>H13</f>
        <v>1.398430086</v>
      </c>
      <c r="T67" s="81">
        <f>H14</f>
        <v>1.056871962</v>
      </c>
    </row>
    <row r="68">
      <c r="G68" s="95"/>
      <c r="H68" s="95"/>
      <c r="L68" s="96"/>
      <c r="M68" s="28"/>
      <c r="N68" s="29"/>
      <c r="O68" s="73">
        <v>150.0</v>
      </c>
      <c r="P68" s="79">
        <f>H15</f>
        <v>2.615792203</v>
      </c>
      <c r="Q68" s="80">
        <f>H16</f>
        <v>2.485634244</v>
      </c>
      <c r="R68" s="80">
        <f>H17</f>
        <v>2.246369383</v>
      </c>
      <c r="S68" s="80">
        <f>H18</f>
        <v>1.855609069</v>
      </c>
      <c r="T68" s="81">
        <f>H19</f>
        <v>1.501786156</v>
      </c>
    </row>
    <row r="69">
      <c r="G69" s="95"/>
      <c r="H69" s="95"/>
      <c r="L69" s="96"/>
      <c r="M69" s="28"/>
      <c r="N69" s="29"/>
      <c r="O69" s="73">
        <v>200.0</v>
      </c>
      <c r="P69" s="79">
        <f>H20</f>
        <v>2.673923651</v>
      </c>
      <c r="Q69" s="80">
        <f>H21</f>
        <v>2.591778324</v>
      </c>
      <c r="R69" s="80">
        <f>H22</f>
        <v>2.464352356</v>
      </c>
      <c r="S69" s="80">
        <f>H23</f>
        <v>1.467416186</v>
      </c>
      <c r="T69" s="81">
        <f>H24</f>
        <v>1.560411793</v>
      </c>
    </row>
    <row r="70">
      <c r="G70" s="95"/>
      <c r="H70" s="95"/>
      <c r="L70" s="96"/>
      <c r="M70" s="28"/>
      <c r="N70" s="32"/>
      <c r="O70" s="73">
        <v>1000.0</v>
      </c>
      <c r="P70" s="79">
        <f>H25</f>
        <v>2.761</v>
      </c>
      <c r="Q70" s="80">
        <f>H26</f>
        <v>2.663</v>
      </c>
      <c r="R70" s="80">
        <f>H27</f>
        <v>2.494</v>
      </c>
      <c r="S70" s="80">
        <f>H28</f>
        <v>2.194</v>
      </c>
      <c r="T70" s="81">
        <f>H29</f>
        <v>1.58</v>
      </c>
    </row>
    <row r="71">
      <c r="G71" s="95"/>
      <c r="H71" s="95"/>
      <c r="L71" s="96"/>
      <c r="M71" s="28"/>
      <c r="N71" s="78" t="s">
        <v>28</v>
      </c>
      <c r="O71" s="66">
        <v>100.0</v>
      </c>
      <c r="P71" s="68">
        <f>I10</f>
        <v>99</v>
      </c>
      <c r="Q71" s="85">
        <f>I11</f>
        <v>99</v>
      </c>
      <c r="R71" s="85">
        <f>I12</f>
        <v>99</v>
      </c>
      <c r="S71" s="85">
        <f>I13</f>
        <v>99</v>
      </c>
      <c r="T71" s="86">
        <f>I14</f>
        <v>99</v>
      </c>
    </row>
    <row r="72">
      <c r="G72" s="95"/>
      <c r="H72" s="95"/>
      <c r="L72" s="96"/>
      <c r="M72" s="28"/>
      <c r="N72" s="29"/>
      <c r="O72" s="73">
        <v>150.0</v>
      </c>
      <c r="P72" s="85">
        <f>I15</f>
        <v>149</v>
      </c>
      <c r="Q72" s="85">
        <f>I16</f>
        <v>149</v>
      </c>
      <c r="R72" s="85">
        <f>I17</f>
        <v>149</v>
      </c>
      <c r="S72" s="85">
        <f>I18</f>
        <v>149</v>
      </c>
      <c r="T72" s="86">
        <f>I19</f>
        <v>149</v>
      </c>
    </row>
    <row r="73">
      <c r="G73" s="95"/>
      <c r="H73" s="95"/>
      <c r="L73" s="96"/>
      <c r="M73" s="28"/>
      <c r="N73" s="29"/>
      <c r="O73" s="73">
        <v>200.0</v>
      </c>
      <c r="P73" s="85">
        <f>I20</f>
        <v>178</v>
      </c>
      <c r="Q73" s="85">
        <f>I21</f>
        <v>194</v>
      </c>
      <c r="R73" s="85">
        <f>I22</f>
        <v>198</v>
      </c>
      <c r="S73" s="85">
        <f>I23</f>
        <v>103</v>
      </c>
      <c r="T73" s="86">
        <f>I24</f>
        <v>199</v>
      </c>
    </row>
    <row r="74">
      <c r="G74" s="95"/>
      <c r="H74" s="95"/>
      <c r="L74" s="96"/>
      <c r="M74" s="42"/>
      <c r="N74" s="43"/>
      <c r="O74" s="87">
        <v>1000.0</v>
      </c>
      <c r="P74" s="88">
        <f>I25</f>
        <v>831</v>
      </c>
      <c r="Q74" s="88">
        <f>I26</f>
        <v>578</v>
      </c>
      <c r="R74" s="88">
        <f>I27</f>
        <v>461</v>
      </c>
      <c r="S74" s="88">
        <f>I28</f>
        <v>184</v>
      </c>
      <c r="T74" s="89">
        <f>I29</f>
        <v>134</v>
      </c>
    </row>
    <row r="75">
      <c r="G75" s="95"/>
      <c r="H75" s="95"/>
      <c r="L75" s="96"/>
      <c r="M75" s="90" t="s">
        <v>29</v>
      </c>
      <c r="N75" s="91" t="s">
        <v>17</v>
      </c>
      <c r="O75" s="66">
        <v>100.0</v>
      </c>
      <c r="P75" s="97">
        <f t="shared" ref="P75:T75" si="9">P79*2</f>
        <v>1.386718706</v>
      </c>
      <c r="Q75" s="97">
        <f t="shared" si="9"/>
        <v>5.683591506</v>
      </c>
      <c r="R75" s="97">
        <f t="shared" si="9"/>
        <v>10.09765526</v>
      </c>
      <c r="S75" s="97">
        <f t="shared" si="9"/>
        <v>16.23046951</v>
      </c>
      <c r="T75" s="98">
        <f t="shared" si="9"/>
        <v>18.18359811</v>
      </c>
    </row>
    <row r="76">
      <c r="G76" s="95"/>
      <c r="H76" s="95"/>
      <c r="L76" s="96"/>
      <c r="M76" s="28"/>
      <c r="N76" s="29"/>
      <c r="O76" s="73">
        <v>150.0</v>
      </c>
      <c r="P76" s="68">
        <f t="shared" ref="P76:T76" si="10">P80*2</f>
        <v>2.207031416</v>
      </c>
      <c r="Q76" s="68">
        <f t="shared" si="10"/>
        <v>6.992187188</v>
      </c>
      <c r="R76" s="68">
        <f t="shared" si="10"/>
        <v>12.65624514</v>
      </c>
      <c r="S76" s="68">
        <f t="shared" si="10"/>
        <v>21.67968745</v>
      </c>
      <c r="T76" s="72">
        <f t="shared" si="10"/>
        <v>28.12499968</v>
      </c>
    </row>
    <row r="77">
      <c r="G77" s="95"/>
      <c r="H77" s="95"/>
      <c r="L77" s="96"/>
      <c r="M77" s="28"/>
      <c r="N77" s="29"/>
      <c r="O77" s="73">
        <v>200.0</v>
      </c>
      <c r="P77" s="68">
        <f t="shared" ref="P77:T77" si="11">P81*2</f>
        <v>2.363270787</v>
      </c>
      <c r="Q77" s="68">
        <f t="shared" si="11"/>
        <v>7.597650378</v>
      </c>
      <c r="R77" s="68">
        <f t="shared" si="11"/>
        <v>13.94531395</v>
      </c>
      <c r="S77" s="68">
        <f t="shared" si="11"/>
        <v>24.06249934</v>
      </c>
      <c r="T77" s="72">
        <f t="shared" si="11"/>
        <v>31.28905399</v>
      </c>
    </row>
    <row r="78">
      <c r="G78" s="95"/>
      <c r="H78" s="95"/>
      <c r="L78" s="96"/>
      <c r="M78" s="28"/>
      <c r="N78" s="32"/>
      <c r="O78" s="73">
        <v>1000.0</v>
      </c>
      <c r="P78" s="68">
        <f t="shared" ref="P78:T78" si="12">P82*2</f>
        <v>2.4</v>
      </c>
      <c r="Q78" s="68">
        <f t="shared" si="12"/>
        <v>7.6</v>
      </c>
      <c r="R78" s="68">
        <f t="shared" si="12"/>
        <v>14</v>
      </c>
      <c r="S78" s="68">
        <f t="shared" si="12"/>
        <v>24.4</v>
      </c>
      <c r="T78" s="72">
        <f t="shared" si="12"/>
        <v>32.6</v>
      </c>
    </row>
    <row r="79">
      <c r="G79" s="95"/>
      <c r="H79" s="95"/>
      <c r="L79" s="96"/>
      <c r="M79" s="28"/>
      <c r="N79" s="78" t="s">
        <v>23</v>
      </c>
      <c r="O79" s="66">
        <v>100.0</v>
      </c>
      <c r="P79" s="79">
        <f>G30</f>
        <v>0.6933593529</v>
      </c>
      <c r="Q79" s="80">
        <f>G31</f>
        <v>2.841795753</v>
      </c>
      <c r="R79" s="80">
        <f>G32</f>
        <v>5.048827631</v>
      </c>
      <c r="S79" s="80">
        <f>G33</f>
        <v>8.115234755</v>
      </c>
      <c r="T79" s="81">
        <f>G34</f>
        <v>9.091799053</v>
      </c>
    </row>
    <row r="80">
      <c r="G80" s="95"/>
      <c r="H80" s="95"/>
      <c r="L80" s="96"/>
      <c r="M80" s="28"/>
      <c r="N80" s="29"/>
      <c r="O80" s="73">
        <v>150.0</v>
      </c>
      <c r="P80" s="79">
        <f>G35</f>
        <v>1.103515708</v>
      </c>
      <c r="Q80" s="80">
        <f>G36</f>
        <v>3.496093594</v>
      </c>
      <c r="R80" s="80">
        <f>G37</f>
        <v>6.32812257</v>
      </c>
      <c r="S80" s="80">
        <f>G38</f>
        <v>10.83984373</v>
      </c>
      <c r="T80" s="81">
        <f>G39</f>
        <v>14.06249984</v>
      </c>
    </row>
    <row r="81">
      <c r="G81" s="95"/>
      <c r="H81" s="95"/>
      <c r="L81" s="96"/>
      <c r="M81" s="28"/>
      <c r="N81" s="29"/>
      <c r="O81" s="73">
        <v>200.0</v>
      </c>
      <c r="P81" s="79">
        <f>G40</f>
        <v>1.181635394</v>
      </c>
      <c r="Q81" s="80">
        <f>G41</f>
        <v>3.798825189</v>
      </c>
      <c r="R81" s="80">
        <f>G42</f>
        <v>6.972656975</v>
      </c>
      <c r="S81" s="80">
        <f>G43</f>
        <v>12.03124967</v>
      </c>
      <c r="T81" s="81">
        <f>G44</f>
        <v>15.64452699</v>
      </c>
    </row>
    <row r="82">
      <c r="G82" s="95"/>
      <c r="H82" s="95"/>
      <c r="L82" s="96"/>
      <c r="M82" s="28"/>
      <c r="N82" s="32"/>
      <c r="O82" s="73">
        <v>1000.0</v>
      </c>
      <c r="P82" s="79">
        <f>G45</f>
        <v>1.2</v>
      </c>
      <c r="Q82" s="80">
        <f>G46</f>
        <v>3.8</v>
      </c>
      <c r="R82" s="80">
        <f>G47</f>
        <v>7</v>
      </c>
      <c r="S82" s="80">
        <f>G48</f>
        <v>12.2</v>
      </c>
      <c r="T82" s="81">
        <f>G49</f>
        <v>16.3</v>
      </c>
    </row>
    <row r="83">
      <c r="G83" s="95"/>
      <c r="H83" s="95"/>
      <c r="L83" s="96"/>
      <c r="M83" s="28"/>
      <c r="N83" s="78" t="s">
        <v>26</v>
      </c>
      <c r="O83" s="66">
        <v>100.0</v>
      </c>
      <c r="P83" s="68">
        <f t="shared" ref="P83:T83" si="13">P87*2</f>
        <v>2.063569503</v>
      </c>
      <c r="Q83" s="68">
        <f t="shared" si="13"/>
        <v>2.574090356</v>
      </c>
      <c r="R83" s="68">
        <f t="shared" si="13"/>
        <v>2.372569375</v>
      </c>
      <c r="S83" s="68">
        <f t="shared" si="13"/>
        <v>1.943303342</v>
      </c>
      <c r="T83" s="72">
        <f t="shared" si="13"/>
        <v>1.495361686</v>
      </c>
    </row>
    <row r="84">
      <c r="G84" s="95"/>
      <c r="H84" s="95"/>
      <c r="L84" s="96"/>
      <c r="M84" s="28"/>
      <c r="N84" s="29"/>
      <c r="O84" s="73">
        <v>150.0</v>
      </c>
      <c r="P84" s="68">
        <f t="shared" ref="P84:T84" si="14">P88*2</f>
        <v>3.284272941</v>
      </c>
      <c r="Q84" s="68">
        <f t="shared" si="14"/>
        <v>3.166751444</v>
      </c>
      <c r="R84" s="68">
        <f t="shared" si="14"/>
        <v>2.973741809</v>
      </c>
      <c r="S84" s="68">
        <f t="shared" si="14"/>
        <v>2.595748019</v>
      </c>
      <c r="T84" s="72">
        <f t="shared" si="14"/>
        <v>2.312911158</v>
      </c>
    </row>
    <row r="85">
      <c r="G85" s="95"/>
      <c r="H85" s="95"/>
      <c r="L85" s="96"/>
      <c r="M85" s="28"/>
      <c r="N85" s="29"/>
      <c r="O85" s="73">
        <v>200.0</v>
      </c>
      <c r="P85" s="68">
        <f t="shared" ref="P85:T85" si="15">P89*2</f>
        <v>3.516772005</v>
      </c>
      <c r="Q85" s="68">
        <f t="shared" si="15"/>
        <v>3.440964845</v>
      </c>
      <c r="R85" s="68">
        <f t="shared" si="15"/>
        <v>3.276624518</v>
      </c>
      <c r="S85" s="68">
        <f t="shared" si="15"/>
        <v>2.881046377</v>
      </c>
      <c r="T85" s="72">
        <f t="shared" si="15"/>
        <v>2.573112992</v>
      </c>
    </row>
    <row r="86">
      <c r="G86" s="95"/>
      <c r="H86" s="95"/>
      <c r="L86" s="96"/>
      <c r="M86" s="28"/>
      <c r="N86" s="32"/>
      <c r="O86" s="73">
        <v>1000.0</v>
      </c>
      <c r="P86" s="68">
        <f t="shared" ref="P86:T86" si="16">P90*2</f>
        <v>3.574</v>
      </c>
      <c r="Q86" s="68">
        <f t="shared" si="16"/>
        <v>3.486</v>
      </c>
      <c r="R86" s="68">
        <f t="shared" si="16"/>
        <v>3.304</v>
      </c>
      <c r="S86" s="68">
        <f t="shared" si="16"/>
        <v>2.916</v>
      </c>
      <c r="T86" s="72">
        <f t="shared" si="16"/>
        <v>2.68</v>
      </c>
    </row>
    <row r="87">
      <c r="G87" s="95"/>
      <c r="H87" s="95"/>
      <c r="L87" s="96"/>
      <c r="M87" s="28"/>
      <c r="N87" s="78" t="s">
        <v>27</v>
      </c>
      <c r="O87" s="66">
        <v>100.0</v>
      </c>
      <c r="P87" s="79">
        <f>H30</f>
        <v>1.031784751</v>
      </c>
      <c r="Q87" s="80">
        <f>H31</f>
        <v>1.287045178</v>
      </c>
      <c r="R87" s="80">
        <f>H32</f>
        <v>1.186284688</v>
      </c>
      <c r="S87" s="80">
        <f>H33</f>
        <v>0.9716516708</v>
      </c>
      <c r="T87" s="81">
        <f>H34</f>
        <v>0.7476808432</v>
      </c>
    </row>
    <row r="88">
      <c r="G88" s="95"/>
      <c r="H88" s="95"/>
      <c r="L88" s="96"/>
      <c r="M88" s="28"/>
      <c r="N88" s="29"/>
      <c r="O88" s="73">
        <v>150.0</v>
      </c>
      <c r="P88" s="79">
        <f>H35</f>
        <v>1.64213647</v>
      </c>
      <c r="Q88" s="80">
        <f>H36</f>
        <v>1.583375722</v>
      </c>
      <c r="R88" s="80">
        <f>H37</f>
        <v>1.486870905</v>
      </c>
      <c r="S88" s="80">
        <f>H38</f>
        <v>1.297874009</v>
      </c>
      <c r="T88" s="81">
        <f>H39</f>
        <v>1.156455579</v>
      </c>
    </row>
    <row r="89">
      <c r="G89" s="95"/>
      <c r="H89" s="95"/>
      <c r="L89" s="96"/>
      <c r="M89" s="28"/>
      <c r="N89" s="29"/>
      <c r="O89" s="73">
        <v>200.0</v>
      </c>
      <c r="P89" s="79">
        <f>H40</f>
        <v>1.758386003</v>
      </c>
      <c r="Q89" s="80">
        <f>H41</f>
        <v>1.720482423</v>
      </c>
      <c r="R89" s="80">
        <f>H42</f>
        <v>1.638312259</v>
      </c>
      <c r="S89" s="80">
        <f>H43</f>
        <v>1.440523189</v>
      </c>
      <c r="T89" s="81">
        <f>H44</f>
        <v>1.286556496</v>
      </c>
    </row>
    <row r="90">
      <c r="G90" s="95"/>
      <c r="H90" s="95"/>
      <c r="L90" s="96"/>
      <c r="M90" s="28"/>
      <c r="N90" s="32"/>
      <c r="O90" s="73">
        <v>1000.0</v>
      </c>
      <c r="P90" s="79">
        <f>H45</f>
        <v>1.787</v>
      </c>
      <c r="Q90" s="80">
        <f>H46</f>
        <v>1.743</v>
      </c>
      <c r="R90" s="80">
        <f>H47</f>
        <v>1.652</v>
      </c>
      <c r="S90" s="80">
        <f>H48</f>
        <v>1.458</v>
      </c>
      <c r="T90" s="81">
        <f>H49</f>
        <v>1.34</v>
      </c>
    </row>
    <row r="91">
      <c r="G91" s="95"/>
      <c r="H91" s="95"/>
      <c r="L91" s="96"/>
      <c r="M91" s="28"/>
      <c r="N91" s="78" t="s">
        <v>28</v>
      </c>
      <c r="O91" s="66">
        <v>100.0</v>
      </c>
      <c r="P91" s="119">
        <f>I30</f>
        <v>77</v>
      </c>
      <c r="Q91" s="85">
        <f>I31</f>
        <v>99</v>
      </c>
      <c r="R91" s="85">
        <f>I32</f>
        <v>99</v>
      </c>
      <c r="S91" s="85">
        <f>I33</f>
        <v>99</v>
      </c>
      <c r="T91" s="86">
        <f>I34</f>
        <v>99</v>
      </c>
    </row>
    <row r="92">
      <c r="G92" s="95"/>
      <c r="H92" s="95"/>
      <c r="L92" s="96"/>
      <c r="M92" s="28"/>
      <c r="N92" s="29"/>
      <c r="O92" s="73">
        <v>150.0</v>
      </c>
      <c r="P92" s="85">
        <f>I35</f>
        <v>149</v>
      </c>
      <c r="Q92" s="85">
        <f>I36</f>
        <v>149</v>
      </c>
      <c r="R92" s="85">
        <f>I37</f>
        <v>149</v>
      </c>
      <c r="S92" s="85">
        <f>I38</f>
        <v>149</v>
      </c>
      <c r="T92" s="86">
        <f>I39</f>
        <v>149</v>
      </c>
    </row>
    <row r="93">
      <c r="G93" s="95"/>
      <c r="H93" s="95"/>
      <c r="L93" s="96"/>
      <c r="M93" s="28"/>
      <c r="N93" s="29"/>
      <c r="O93" s="73">
        <v>200.0</v>
      </c>
      <c r="P93" s="85">
        <f>I40</f>
        <v>192</v>
      </c>
      <c r="Q93" s="85">
        <f>I41</f>
        <v>199</v>
      </c>
      <c r="R93" s="85">
        <f>I42</f>
        <v>199</v>
      </c>
      <c r="S93" s="85">
        <f>I43</f>
        <v>199</v>
      </c>
      <c r="T93" s="86">
        <f>I44</f>
        <v>199</v>
      </c>
    </row>
    <row r="94">
      <c r="G94" s="95"/>
      <c r="H94" s="95"/>
      <c r="L94" s="96"/>
      <c r="M94" s="42"/>
      <c r="N94" s="43"/>
      <c r="O94" s="87">
        <v>1000.0</v>
      </c>
      <c r="P94" s="88">
        <f>I45</f>
        <v>323</v>
      </c>
      <c r="Q94" s="88">
        <f>I46</f>
        <v>292</v>
      </c>
      <c r="R94" s="88">
        <f>I47</f>
        <v>256</v>
      </c>
      <c r="S94" s="88">
        <f>I48</f>
        <v>218</v>
      </c>
      <c r="T94" s="89">
        <f>I49</f>
        <v>242</v>
      </c>
    </row>
    <row r="95">
      <c r="G95" s="95"/>
      <c r="H95" s="95"/>
      <c r="L95" s="96"/>
    </row>
    <row r="96">
      <c r="G96" s="95"/>
      <c r="H96" s="95"/>
      <c r="L96" s="96"/>
    </row>
    <row r="97">
      <c r="G97" s="95"/>
      <c r="H97" s="95"/>
      <c r="L97" s="96"/>
    </row>
    <row r="98">
      <c r="G98" s="95"/>
      <c r="H98" s="95"/>
      <c r="L98" s="96"/>
    </row>
    <row r="99">
      <c r="G99" s="95"/>
      <c r="H99" s="95"/>
      <c r="L99" s="96"/>
    </row>
    <row r="100">
      <c r="G100" s="95"/>
      <c r="H100" s="95"/>
      <c r="L100" s="96"/>
    </row>
    <row r="101">
      <c r="G101" s="95"/>
      <c r="H101" s="95"/>
      <c r="L101" s="96"/>
    </row>
    <row r="102">
      <c r="G102" s="95"/>
      <c r="H102" s="95"/>
      <c r="L102" s="96"/>
    </row>
    <row r="103">
      <c r="G103" s="95"/>
      <c r="H103" s="95"/>
      <c r="L103" s="96"/>
    </row>
    <row r="104">
      <c r="G104" s="95"/>
      <c r="H104" s="95"/>
      <c r="L104" s="96"/>
    </row>
    <row r="105">
      <c r="G105" s="95"/>
      <c r="H105" s="95"/>
      <c r="L105" s="96"/>
    </row>
    <row r="106">
      <c r="G106" s="95"/>
      <c r="H106" s="95"/>
      <c r="L106" s="96"/>
    </row>
    <row r="107">
      <c r="G107" s="95"/>
      <c r="H107" s="95"/>
      <c r="L107" s="96"/>
    </row>
    <row r="108">
      <c r="G108" s="95"/>
      <c r="H108" s="95"/>
      <c r="L108" s="96"/>
    </row>
    <row r="109">
      <c r="G109" s="95"/>
      <c r="H109" s="95"/>
      <c r="L109" s="96"/>
    </row>
    <row r="110">
      <c r="G110" s="95"/>
      <c r="H110" s="95"/>
      <c r="L110" s="96"/>
    </row>
    <row r="111">
      <c r="G111" s="95"/>
      <c r="H111" s="95"/>
      <c r="L111" s="96"/>
    </row>
    <row r="112">
      <c r="G112" s="95"/>
      <c r="H112" s="95"/>
      <c r="L112" s="96"/>
    </row>
    <row r="113">
      <c r="G113" s="95"/>
      <c r="H113" s="95"/>
      <c r="L113" s="96"/>
    </row>
    <row r="114">
      <c r="G114" s="95"/>
      <c r="H114" s="95"/>
      <c r="L114" s="96"/>
    </row>
    <row r="115">
      <c r="G115" s="95"/>
      <c r="H115" s="95"/>
      <c r="L115" s="96"/>
    </row>
    <row r="116">
      <c r="G116" s="95"/>
      <c r="H116" s="95"/>
      <c r="L116" s="96"/>
    </row>
    <row r="117">
      <c r="G117" s="95"/>
      <c r="H117" s="95"/>
      <c r="L117" s="96"/>
    </row>
    <row r="118">
      <c r="G118" s="95"/>
      <c r="H118" s="95"/>
      <c r="L118" s="96"/>
    </row>
    <row r="119">
      <c r="G119" s="95"/>
      <c r="H119" s="95"/>
      <c r="L119" s="96"/>
    </row>
    <row r="120">
      <c r="G120" s="95"/>
      <c r="H120" s="95"/>
      <c r="L120" s="96"/>
    </row>
    <row r="121">
      <c r="G121" s="95"/>
      <c r="H121" s="95"/>
      <c r="L121" s="96"/>
    </row>
    <row r="122">
      <c r="G122" s="95"/>
      <c r="H122" s="95"/>
      <c r="L122" s="96"/>
    </row>
    <row r="123">
      <c r="G123" s="95"/>
      <c r="H123" s="95"/>
      <c r="L123" s="96"/>
    </row>
    <row r="124">
      <c r="G124" s="95"/>
      <c r="H124" s="95"/>
      <c r="L124" s="96"/>
    </row>
    <row r="125">
      <c r="G125" s="95"/>
      <c r="H125" s="95"/>
      <c r="L125" s="96"/>
    </row>
    <row r="126">
      <c r="G126" s="95"/>
      <c r="H126" s="95"/>
      <c r="L126" s="96"/>
    </row>
    <row r="127">
      <c r="G127" s="95"/>
      <c r="H127" s="95"/>
      <c r="L127" s="96"/>
    </row>
    <row r="128">
      <c r="G128" s="95"/>
      <c r="H128" s="95"/>
      <c r="L128" s="96"/>
    </row>
    <row r="129">
      <c r="G129" s="95"/>
      <c r="H129" s="95"/>
      <c r="L129" s="96"/>
    </row>
    <row r="130">
      <c r="G130" s="95"/>
      <c r="H130" s="95"/>
      <c r="L130" s="96"/>
    </row>
    <row r="131">
      <c r="G131" s="95"/>
      <c r="H131" s="95"/>
      <c r="L131" s="96"/>
    </row>
    <row r="132">
      <c r="G132" s="95"/>
      <c r="H132" s="95"/>
      <c r="L132" s="96"/>
    </row>
    <row r="133">
      <c r="G133" s="95"/>
      <c r="H133" s="95"/>
      <c r="L133" s="96"/>
    </row>
    <row r="134">
      <c r="G134" s="95"/>
      <c r="H134" s="95"/>
      <c r="L134" s="96"/>
    </row>
    <row r="135">
      <c r="G135" s="95"/>
      <c r="H135" s="95"/>
      <c r="L135" s="96"/>
    </row>
    <row r="136">
      <c r="G136" s="95"/>
      <c r="H136" s="95"/>
      <c r="L136" s="96"/>
    </row>
    <row r="137">
      <c r="G137" s="95"/>
      <c r="H137" s="95"/>
      <c r="L137" s="96"/>
    </row>
    <row r="138">
      <c r="G138" s="95"/>
      <c r="H138" s="95"/>
      <c r="L138" s="96"/>
    </row>
    <row r="139">
      <c r="G139" s="95"/>
      <c r="H139" s="95"/>
      <c r="L139" s="96"/>
    </row>
    <row r="140">
      <c r="G140" s="95"/>
      <c r="H140" s="95"/>
      <c r="L140" s="96"/>
    </row>
    <row r="141">
      <c r="G141" s="95"/>
      <c r="H141" s="95"/>
      <c r="L141" s="96"/>
    </row>
    <row r="142">
      <c r="G142" s="95"/>
      <c r="H142" s="95"/>
      <c r="L142" s="96"/>
    </row>
    <row r="143">
      <c r="G143" s="95"/>
      <c r="H143" s="95"/>
      <c r="L143" s="96"/>
    </row>
    <row r="144">
      <c r="G144" s="95"/>
      <c r="H144" s="95"/>
      <c r="L144" s="96"/>
    </row>
    <row r="145">
      <c r="G145" s="95"/>
      <c r="H145" s="95"/>
      <c r="L145" s="96"/>
    </row>
    <row r="146">
      <c r="G146" s="95"/>
      <c r="H146" s="95"/>
      <c r="L146" s="96"/>
    </row>
    <row r="147">
      <c r="G147" s="95"/>
      <c r="H147" s="95"/>
      <c r="L147" s="96"/>
    </row>
    <row r="148">
      <c r="G148" s="95"/>
      <c r="H148" s="95"/>
      <c r="L148" s="96"/>
    </row>
    <row r="149">
      <c r="G149" s="95"/>
      <c r="H149" s="95"/>
      <c r="L149" s="96"/>
    </row>
    <row r="150">
      <c r="G150" s="95"/>
      <c r="H150" s="95"/>
      <c r="L150" s="96"/>
    </row>
    <row r="151">
      <c r="G151" s="95"/>
      <c r="H151" s="95"/>
      <c r="L151" s="96"/>
    </row>
    <row r="152">
      <c r="G152" s="95"/>
      <c r="H152" s="95"/>
      <c r="L152" s="96"/>
    </row>
    <row r="153">
      <c r="G153" s="95"/>
      <c r="H153" s="95"/>
      <c r="L153" s="96"/>
    </row>
    <row r="154">
      <c r="G154" s="95"/>
      <c r="H154" s="95"/>
      <c r="L154" s="96"/>
    </row>
    <row r="155">
      <c r="G155" s="95"/>
      <c r="H155" s="95"/>
      <c r="L155" s="96"/>
    </row>
    <row r="156">
      <c r="G156" s="95"/>
      <c r="H156" s="95"/>
      <c r="L156" s="96"/>
    </row>
    <row r="157">
      <c r="G157" s="95"/>
      <c r="H157" s="95"/>
      <c r="L157" s="96"/>
    </row>
    <row r="158">
      <c r="G158" s="95"/>
      <c r="H158" s="95"/>
      <c r="L158" s="96"/>
    </row>
    <row r="159">
      <c r="G159" s="95"/>
      <c r="H159" s="95"/>
      <c r="L159" s="96"/>
    </row>
    <row r="160">
      <c r="G160" s="95"/>
      <c r="H160" s="95"/>
      <c r="L160" s="96"/>
    </row>
    <row r="161">
      <c r="G161" s="95"/>
      <c r="H161" s="95"/>
      <c r="L161" s="96"/>
    </row>
    <row r="162">
      <c r="G162" s="95"/>
      <c r="H162" s="95"/>
      <c r="L162" s="96"/>
    </row>
    <row r="163">
      <c r="G163" s="95"/>
      <c r="H163" s="95"/>
      <c r="L163" s="96"/>
    </row>
    <row r="164">
      <c r="G164" s="95"/>
      <c r="H164" s="95"/>
      <c r="L164" s="96"/>
    </row>
    <row r="165">
      <c r="G165" s="95"/>
      <c r="H165" s="95"/>
      <c r="L165" s="96"/>
    </row>
    <row r="166">
      <c r="G166" s="95"/>
      <c r="H166" s="95"/>
      <c r="L166" s="96"/>
    </row>
    <row r="167">
      <c r="G167" s="95"/>
      <c r="H167" s="95"/>
      <c r="L167" s="96"/>
    </row>
    <row r="168">
      <c r="G168" s="95"/>
      <c r="H168" s="95"/>
      <c r="L168" s="96"/>
    </row>
    <row r="169">
      <c r="G169" s="95"/>
      <c r="H169" s="95"/>
      <c r="L169" s="96"/>
    </row>
    <row r="170">
      <c r="G170" s="95"/>
      <c r="H170" s="95"/>
      <c r="L170" s="96"/>
    </row>
    <row r="171">
      <c r="G171" s="95"/>
      <c r="H171" s="95"/>
      <c r="L171" s="96"/>
    </row>
    <row r="172">
      <c r="G172" s="95"/>
      <c r="H172" s="95"/>
      <c r="L172" s="96"/>
    </row>
    <row r="173">
      <c r="G173" s="95"/>
      <c r="H173" s="95"/>
      <c r="L173" s="96"/>
    </row>
    <row r="174">
      <c r="G174" s="95"/>
      <c r="H174" s="95"/>
      <c r="L174" s="96"/>
    </row>
    <row r="175">
      <c r="G175" s="95"/>
      <c r="H175" s="95"/>
      <c r="L175" s="96"/>
    </row>
    <row r="176">
      <c r="G176" s="95"/>
      <c r="H176" s="95"/>
      <c r="L176" s="96"/>
    </row>
    <row r="177">
      <c r="G177" s="95"/>
      <c r="H177" s="95"/>
      <c r="L177" s="96"/>
    </row>
    <row r="178">
      <c r="G178" s="95"/>
      <c r="H178" s="95"/>
      <c r="L178" s="96"/>
    </row>
    <row r="179">
      <c r="G179" s="95"/>
      <c r="H179" s="95"/>
      <c r="L179" s="96"/>
    </row>
    <row r="180">
      <c r="G180" s="95"/>
      <c r="H180" s="95"/>
      <c r="L180" s="96"/>
    </row>
    <row r="181">
      <c r="G181" s="95"/>
      <c r="H181" s="95"/>
      <c r="L181" s="96"/>
    </row>
    <row r="182">
      <c r="G182" s="95"/>
      <c r="H182" s="95"/>
      <c r="L182" s="96"/>
    </row>
    <row r="183">
      <c r="G183" s="95"/>
      <c r="H183" s="95"/>
      <c r="L183" s="96"/>
    </row>
    <row r="184">
      <c r="G184" s="95"/>
      <c r="H184" s="95"/>
      <c r="L184" s="96"/>
    </row>
    <row r="185">
      <c r="G185" s="95"/>
      <c r="H185" s="95"/>
      <c r="L185" s="96"/>
    </row>
    <row r="186">
      <c r="G186" s="95"/>
      <c r="H186" s="95"/>
      <c r="L186" s="96"/>
    </row>
    <row r="187">
      <c r="G187" s="95"/>
      <c r="H187" s="95"/>
      <c r="L187" s="96"/>
    </row>
    <row r="188">
      <c r="G188" s="95"/>
      <c r="H188" s="95"/>
      <c r="L188" s="96"/>
    </row>
    <row r="189">
      <c r="G189" s="95"/>
      <c r="H189" s="95"/>
      <c r="L189" s="96"/>
    </row>
    <row r="190">
      <c r="G190" s="95"/>
      <c r="H190" s="95"/>
      <c r="L190" s="96"/>
    </row>
    <row r="191">
      <c r="G191" s="95"/>
      <c r="H191" s="95"/>
      <c r="L191" s="96"/>
    </row>
    <row r="192">
      <c r="G192" s="95"/>
      <c r="H192" s="95"/>
      <c r="L192" s="96"/>
    </row>
    <row r="193">
      <c r="G193" s="95"/>
      <c r="H193" s="95"/>
      <c r="L193" s="96"/>
    </row>
    <row r="194">
      <c r="G194" s="95"/>
      <c r="H194" s="95"/>
      <c r="L194" s="96"/>
    </row>
    <row r="195">
      <c r="G195" s="95"/>
      <c r="H195" s="95"/>
      <c r="L195" s="96"/>
    </row>
    <row r="196">
      <c r="G196" s="95"/>
      <c r="H196" s="95"/>
      <c r="L196" s="96"/>
    </row>
    <row r="197">
      <c r="G197" s="95"/>
      <c r="H197" s="95"/>
      <c r="L197" s="96"/>
    </row>
    <row r="198">
      <c r="G198" s="95"/>
      <c r="H198" s="95"/>
      <c r="L198" s="96"/>
    </row>
    <row r="199">
      <c r="G199" s="95"/>
      <c r="H199" s="95"/>
      <c r="L199" s="96"/>
    </row>
    <row r="200">
      <c r="G200" s="95"/>
      <c r="H200" s="95"/>
      <c r="L200" s="96"/>
    </row>
    <row r="201">
      <c r="G201" s="95"/>
      <c r="H201" s="95"/>
      <c r="L201" s="96"/>
    </row>
    <row r="202">
      <c r="G202" s="95"/>
      <c r="H202" s="95"/>
      <c r="L202" s="96"/>
    </row>
    <row r="203">
      <c r="G203" s="95"/>
      <c r="H203" s="95"/>
      <c r="L203" s="96"/>
    </row>
    <row r="204">
      <c r="G204" s="95"/>
      <c r="H204" s="95"/>
      <c r="L204" s="96"/>
    </row>
    <row r="205">
      <c r="G205" s="95"/>
      <c r="H205" s="95"/>
      <c r="L205" s="96"/>
    </row>
    <row r="206">
      <c r="G206" s="95"/>
      <c r="H206" s="95"/>
      <c r="L206" s="96"/>
    </row>
    <row r="207">
      <c r="G207" s="95"/>
      <c r="H207" s="95"/>
      <c r="L207" s="96"/>
    </row>
    <row r="208">
      <c r="G208" s="95"/>
      <c r="H208" s="95"/>
      <c r="L208" s="96"/>
    </row>
    <row r="209">
      <c r="G209" s="95"/>
      <c r="H209" s="95"/>
      <c r="L209" s="96"/>
    </row>
    <row r="210">
      <c r="G210" s="95"/>
      <c r="H210" s="95"/>
      <c r="L210" s="96"/>
    </row>
    <row r="211">
      <c r="G211" s="95"/>
      <c r="H211" s="95"/>
      <c r="L211" s="96"/>
    </row>
    <row r="212">
      <c r="G212" s="95"/>
      <c r="H212" s="95"/>
      <c r="L212" s="96"/>
    </row>
    <row r="213">
      <c r="G213" s="95"/>
      <c r="H213" s="95"/>
      <c r="L213" s="96"/>
    </row>
    <row r="214">
      <c r="G214" s="95"/>
      <c r="H214" s="95"/>
      <c r="L214" s="96"/>
    </row>
    <row r="215">
      <c r="G215" s="95"/>
      <c r="H215" s="95"/>
      <c r="L215" s="96"/>
    </row>
    <row r="216">
      <c r="G216" s="95"/>
      <c r="H216" s="95"/>
      <c r="L216" s="96"/>
    </row>
    <row r="217">
      <c r="G217" s="95"/>
      <c r="H217" s="95"/>
      <c r="L217" s="96"/>
    </row>
    <row r="218">
      <c r="G218" s="95"/>
      <c r="H218" s="95"/>
      <c r="L218" s="96"/>
    </row>
    <row r="219">
      <c r="G219" s="95"/>
      <c r="H219" s="95"/>
      <c r="L219" s="96"/>
    </row>
    <row r="220">
      <c r="G220" s="95"/>
      <c r="H220" s="95"/>
      <c r="L220" s="96"/>
    </row>
    <row r="221">
      <c r="G221" s="95"/>
      <c r="H221" s="95"/>
      <c r="L221" s="96"/>
    </row>
    <row r="222">
      <c r="G222" s="95"/>
      <c r="H222" s="95"/>
      <c r="L222" s="96"/>
    </row>
    <row r="223">
      <c r="G223" s="95"/>
      <c r="H223" s="95"/>
      <c r="L223" s="96"/>
    </row>
    <row r="224">
      <c r="G224" s="95"/>
      <c r="H224" s="95"/>
      <c r="L224" s="96"/>
    </row>
    <row r="225">
      <c r="G225" s="95"/>
      <c r="H225" s="95"/>
      <c r="L225" s="96"/>
    </row>
    <row r="226">
      <c r="G226" s="95"/>
      <c r="H226" s="95"/>
      <c r="L226" s="96"/>
    </row>
    <row r="227">
      <c r="G227" s="95"/>
      <c r="H227" s="95"/>
      <c r="L227" s="96"/>
    </row>
    <row r="228">
      <c r="G228" s="95"/>
      <c r="H228" s="95"/>
      <c r="L228" s="96"/>
    </row>
    <row r="229">
      <c r="G229" s="95"/>
      <c r="H229" s="95"/>
      <c r="L229" s="96"/>
    </row>
    <row r="230">
      <c r="G230" s="95"/>
      <c r="H230" s="95"/>
      <c r="L230" s="96"/>
    </row>
    <row r="231">
      <c r="G231" s="95"/>
      <c r="H231" s="95"/>
      <c r="L231" s="96"/>
    </row>
    <row r="232">
      <c r="G232" s="95"/>
      <c r="H232" s="95"/>
      <c r="L232" s="96"/>
    </row>
    <row r="233">
      <c r="G233" s="95"/>
      <c r="H233" s="95"/>
      <c r="L233" s="96"/>
    </row>
    <row r="234">
      <c r="G234" s="95"/>
      <c r="H234" s="95"/>
      <c r="L234" s="96"/>
    </row>
    <row r="235">
      <c r="G235" s="95"/>
      <c r="H235" s="95"/>
      <c r="L235" s="96"/>
    </row>
    <row r="236">
      <c r="G236" s="95"/>
      <c r="H236" s="95"/>
      <c r="L236" s="96"/>
    </row>
    <row r="237">
      <c r="G237" s="95"/>
      <c r="H237" s="95"/>
      <c r="L237" s="96"/>
    </row>
    <row r="238">
      <c r="G238" s="95"/>
      <c r="H238" s="95"/>
      <c r="L238" s="96"/>
    </row>
    <row r="239">
      <c r="G239" s="95"/>
      <c r="H239" s="95"/>
      <c r="L239" s="96"/>
    </row>
    <row r="240">
      <c r="G240" s="95"/>
      <c r="H240" s="95"/>
      <c r="L240" s="96"/>
    </row>
    <row r="241">
      <c r="G241" s="95"/>
      <c r="H241" s="95"/>
      <c r="L241" s="96"/>
    </row>
    <row r="242">
      <c r="G242" s="95"/>
      <c r="H242" s="95"/>
      <c r="L242" s="96"/>
    </row>
    <row r="243">
      <c r="G243" s="95"/>
      <c r="H243" s="95"/>
      <c r="L243" s="96"/>
    </row>
    <row r="244">
      <c r="G244" s="95"/>
      <c r="H244" s="95"/>
      <c r="L244" s="96"/>
    </row>
    <row r="245">
      <c r="G245" s="95"/>
      <c r="H245" s="95"/>
      <c r="L245" s="96"/>
    </row>
    <row r="246">
      <c r="G246" s="95"/>
      <c r="H246" s="95"/>
      <c r="L246" s="96"/>
    </row>
    <row r="247">
      <c r="G247" s="95"/>
      <c r="H247" s="95"/>
      <c r="L247" s="96"/>
    </row>
    <row r="248">
      <c r="G248" s="95"/>
      <c r="H248" s="95"/>
      <c r="L248" s="96"/>
    </row>
    <row r="249">
      <c r="G249" s="95"/>
      <c r="H249" s="95"/>
      <c r="L249" s="96"/>
    </row>
    <row r="250">
      <c r="G250" s="95"/>
      <c r="H250" s="95"/>
      <c r="L250" s="96"/>
    </row>
    <row r="251">
      <c r="G251" s="95"/>
      <c r="H251" s="95"/>
      <c r="L251" s="96"/>
    </row>
    <row r="252">
      <c r="G252" s="95"/>
      <c r="H252" s="95"/>
      <c r="L252" s="96"/>
    </row>
    <row r="253">
      <c r="G253" s="95"/>
      <c r="H253" s="95"/>
      <c r="L253" s="96"/>
    </row>
    <row r="254">
      <c r="G254" s="95"/>
      <c r="H254" s="95"/>
      <c r="L254" s="96"/>
    </row>
    <row r="255">
      <c r="G255" s="95"/>
      <c r="H255" s="95"/>
      <c r="L255" s="96"/>
    </row>
    <row r="256">
      <c r="G256" s="95"/>
      <c r="H256" s="95"/>
      <c r="L256" s="96"/>
    </row>
    <row r="257">
      <c r="G257" s="95"/>
      <c r="H257" s="95"/>
      <c r="L257" s="96"/>
    </row>
    <row r="258">
      <c r="G258" s="95"/>
      <c r="H258" s="95"/>
      <c r="L258" s="96"/>
    </row>
    <row r="259">
      <c r="G259" s="95"/>
      <c r="H259" s="95"/>
      <c r="L259" s="96"/>
    </row>
    <row r="260">
      <c r="G260" s="95"/>
      <c r="H260" s="95"/>
      <c r="L260" s="96"/>
    </row>
    <row r="261">
      <c r="G261" s="95"/>
      <c r="H261" s="95"/>
      <c r="L261" s="96"/>
    </row>
    <row r="262">
      <c r="G262" s="95"/>
      <c r="H262" s="95"/>
      <c r="L262" s="96"/>
    </row>
    <row r="263">
      <c r="G263" s="95"/>
      <c r="H263" s="95"/>
      <c r="L263" s="96"/>
    </row>
    <row r="264">
      <c r="G264" s="95"/>
      <c r="H264" s="95"/>
      <c r="L264" s="96"/>
    </row>
    <row r="265">
      <c r="G265" s="95"/>
      <c r="H265" s="95"/>
      <c r="L265" s="96"/>
    </row>
    <row r="266">
      <c r="G266" s="95"/>
      <c r="H266" s="95"/>
      <c r="L266" s="96"/>
    </row>
    <row r="267">
      <c r="G267" s="95"/>
      <c r="H267" s="95"/>
      <c r="L267" s="96"/>
    </row>
    <row r="268">
      <c r="G268" s="95"/>
      <c r="H268" s="95"/>
      <c r="L268" s="96"/>
    </row>
    <row r="269">
      <c r="G269" s="95"/>
      <c r="H269" s="95"/>
      <c r="L269" s="96"/>
    </row>
    <row r="270">
      <c r="G270" s="95"/>
      <c r="H270" s="95"/>
      <c r="L270" s="96"/>
    </row>
    <row r="271">
      <c r="G271" s="95"/>
      <c r="H271" s="95"/>
      <c r="L271" s="96"/>
    </row>
    <row r="272">
      <c r="G272" s="95"/>
      <c r="H272" s="95"/>
      <c r="L272" s="96"/>
    </row>
    <row r="273">
      <c r="G273" s="95"/>
      <c r="H273" s="95"/>
      <c r="L273" s="96"/>
    </row>
    <row r="274">
      <c r="G274" s="95"/>
      <c r="H274" s="95"/>
      <c r="L274" s="96"/>
    </row>
    <row r="275">
      <c r="G275" s="95"/>
      <c r="H275" s="95"/>
      <c r="L275" s="96"/>
    </row>
    <row r="276">
      <c r="G276" s="95"/>
      <c r="H276" s="95"/>
      <c r="L276" s="96"/>
    </row>
    <row r="277">
      <c r="G277" s="95"/>
      <c r="H277" s="95"/>
      <c r="L277" s="96"/>
    </row>
    <row r="278">
      <c r="G278" s="95"/>
      <c r="H278" s="95"/>
      <c r="L278" s="96"/>
    </row>
    <row r="279">
      <c r="G279" s="95"/>
      <c r="H279" s="95"/>
      <c r="L279" s="96"/>
    </row>
    <row r="280">
      <c r="G280" s="95"/>
      <c r="H280" s="95"/>
      <c r="L280" s="96"/>
    </row>
    <row r="281">
      <c r="G281" s="95"/>
      <c r="H281" s="95"/>
      <c r="L281" s="96"/>
    </row>
    <row r="282">
      <c r="G282" s="95"/>
      <c r="H282" s="95"/>
      <c r="L282" s="96"/>
    </row>
    <row r="283">
      <c r="G283" s="95"/>
      <c r="H283" s="95"/>
      <c r="L283" s="96"/>
    </row>
    <row r="284">
      <c r="G284" s="95"/>
      <c r="H284" s="95"/>
      <c r="L284" s="96"/>
    </row>
    <row r="285">
      <c r="G285" s="95"/>
      <c r="H285" s="95"/>
      <c r="L285" s="96"/>
    </row>
    <row r="286">
      <c r="G286" s="95"/>
      <c r="H286" s="95"/>
      <c r="L286" s="96"/>
    </row>
    <row r="287">
      <c r="G287" s="95"/>
      <c r="H287" s="95"/>
      <c r="L287" s="96"/>
    </row>
    <row r="288">
      <c r="G288" s="95"/>
      <c r="H288" s="95"/>
      <c r="L288" s="96"/>
    </row>
    <row r="289">
      <c r="G289" s="95"/>
      <c r="H289" s="95"/>
      <c r="L289" s="96"/>
    </row>
    <row r="290">
      <c r="G290" s="95"/>
      <c r="H290" s="95"/>
      <c r="L290" s="96"/>
    </row>
    <row r="291">
      <c r="G291" s="95"/>
      <c r="H291" s="95"/>
      <c r="L291" s="96"/>
    </row>
    <row r="292">
      <c r="G292" s="95"/>
      <c r="H292" s="95"/>
      <c r="L292" s="96"/>
    </row>
    <row r="293">
      <c r="G293" s="95"/>
      <c r="H293" s="95"/>
      <c r="L293" s="96"/>
    </row>
    <row r="294">
      <c r="G294" s="95"/>
      <c r="H294" s="95"/>
      <c r="L294" s="96"/>
    </row>
    <row r="295">
      <c r="G295" s="95"/>
      <c r="H295" s="95"/>
      <c r="L295" s="96"/>
    </row>
    <row r="296">
      <c r="G296" s="95"/>
      <c r="H296" s="95"/>
      <c r="L296" s="96"/>
    </row>
    <row r="297">
      <c r="G297" s="95"/>
      <c r="H297" s="95"/>
      <c r="L297" s="96"/>
    </row>
    <row r="298">
      <c r="G298" s="95"/>
      <c r="H298" s="95"/>
      <c r="L298" s="96"/>
    </row>
    <row r="299">
      <c r="G299" s="95"/>
      <c r="H299" s="95"/>
      <c r="L299" s="96"/>
    </row>
    <row r="300">
      <c r="G300" s="95"/>
      <c r="H300" s="95"/>
      <c r="L300" s="96"/>
    </row>
    <row r="301">
      <c r="G301" s="95"/>
      <c r="H301" s="95"/>
      <c r="L301" s="96"/>
    </row>
    <row r="302">
      <c r="G302" s="95"/>
      <c r="H302" s="95"/>
      <c r="L302" s="96"/>
    </row>
    <row r="303">
      <c r="G303" s="95"/>
      <c r="H303" s="95"/>
      <c r="L303" s="96"/>
    </row>
    <row r="304">
      <c r="G304" s="95"/>
      <c r="H304" s="95"/>
      <c r="L304" s="96"/>
    </row>
    <row r="305">
      <c r="G305" s="95"/>
      <c r="H305" s="95"/>
      <c r="L305" s="96"/>
    </row>
    <row r="306">
      <c r="G306" s="95"/>
      <c r="H306" s="95"/>
      <c r="L306" s="96"/>
    </row>
    <row r="307">
      <c r="G307" s="95"/>
      <c r="H307" s="95"/>
      <c r="L307" s="96"/>
    </row>
    <row r="308">
      <c r="G308" s="95"/>
      <c r="H308" s="95"/>
      <c r="L308" s="96"/>
    </row>
    <row r="309">
      <c r="G309" s="95"/>
      <c r="H309" s="95"/>
      <c r="L309" s="96"/>
    </row>
    <row r="310">
      <c r="G310" s="95"/>
      <c r="H310" s="95"/>
      <c r="L310" s="96"/>
    </row>
    <row r="311">
      <c r="G311" s="95"/>
      <c r="H311" s="95"/>
      <c r="L311" s="96"/>
    </row>
    <row r="312">
      <c r="G312" s="95"/>
      <c r="H312" s="95"/>
      <c r="L312" s="96"/>
    </row>
    <row r="313">
      <c r="G313" s="95"/>
      <c r="H313" s="95"/>
      <c r="L313" s="96"/>
    </row>
    <row r="314">
      <c r="G314" s="95"/>
      <c r="H314" s="95"/>
      <c r="L314" s="96"/>
    </row>
    <row r="315">
      <c r="G315" s="95"/>
      <c r="H315" s="95"/>
      <c r="L315" s="96"/>
    </row>
    <row r="316">
      <c r="G316" s="95"/>
      <c r="H316" s="95"/>
      <c r="L316" s="96"/>
    </row>
    <row r="317">
      <c r="G317" s="95"/>
      <c r="H317" s="95"/>
      <c r="L317" s="96"/>
    </row>
    <row r="318">
      <c r="G318" s="95"/>
      <c r="H318" s="95"/>
      <c r="L318" s="96"/>
    </row>
    <row r="319">
      <c r="G319" s="95"/>
      <c r="H319" s="95"/>
      <c r="L319" s="96"/>
    </row>
    <row r="320">
      <c r="G320" s="95"/>
      <c r="H320" s="95"/>
      <c r="L320" s="96"/>
    </row>
    <row r="321">
      <c r="G321" s="95"/>
      <c r="H321" s="95"/>
      <c r="L321" s="96"/>
    </row>
    <row r="322">
      <c r="G322" s="95"/>
      <c r="H322" s="95"/>
      <c r="L322" s="96"/>
    </row>
    <row r="323">
      <c r="G323" s="95"/>
      <c r="H323" s="95"/>
      <c r="L323" s="96"/>
    </row>
    <row r="324">
      <c r="G324" s="95"/>
      <c r="H324" s="95"/>
      <c r="L324" s="96"/>
    </row>
    <row r="325">
      <c r="G325" s="95"/>
      <c r="H325" s="95"/>
      <c r="L325" s="96"/>
    </row>
    <row r="326">
      <c r="G326" s="95"/>
      <c r="H326" s="95"/>
      <c r="L326" s="96"/>
    </row>
    <row r="327">
      <c r="G327" s="95"/>
      <c r="H327" s="95"/>
      <c r="L327" s="96"/>
    </row>
    <row r="328">
      <c r="G328" s="95"/>
      <c r="H328" s="95"/>
      <c r="L328" s="96"/>
    </row>
    <row r="329">
      <c r="G329" s="95"/>
      <c r="H329" s="95"/>
      <c r="L329" s="96"/>
    </row>
    <row r="330">
      <c r="G330" s="95"/>
      <c r="H330" s="95"/>
      <c r="L330" s="96"/>
    </row>
    <row r="331">
      <c r="G331" s="95"/>
      <c r="H331" s="95"/>
      <c r="L331" s="96"/>
    </row>
    <row r="332">
      <c r="G332" s="95"/>
      <c r="H332" s="95"/>
      <c r="L332" s="96"/>
    </row>
    <row r="333">
      <c r="G333" s="95"/>
      <c r="H333" s="95"/>
      <c r="L333" s="96"/>
    </row>
    <row r="334">
      <c r="G334" s="95"/>
      <c r="H334" s="95"/>
      <c r="L334" s="96"/>
    </row>
    <row r="335">
      <c r="G335" s="95"/>
      <c r="H335" s="95"/>
      <c r="L335" s="96"/>
    </row>
    <row r="336">
      <c r="G336" s="95"/>
      <c r="H336" s="95"/>
      <c r="L336" s="96"/>
    </row>
    <row r="337">
      <c r="G337" s="95"/>
      <c r="H337" s="95"/>
      <c r="L337" s="96"/>
    </row>
    <row r="338">
      <c r="G338" s="95"/>
      <c r="H338" s="95"/>
      <c r="L338" s="96"/>
    </row>
    <row r="339">
      <c r="G339" s="95"/>
      <c r="H339" s="95"/>
      <c r="L339" s="96"/>
    </row>
    <row r="340">
      <c r="G340" s="95"/>
      <c r="H340" s="95"/>
      <c r="L340" s="96"/>
    </row>
    <row r="341">
      <c r="G341" s="95"/>
      <c r="H341" s="95"/>
      <c r="L341" s="96"/>
    </row>
    <row r="342">
      <c r="G342" s="95"/>
      <c r="H342" s="95"/>
      <c r="L342" s="96"/>
    </row>
    <row r="343">
      <c r="G343" s="95"/>
      <c r="H343" s="95"/>
      <c r="L343" s="96"/>
    </row>
    <row r="344">
      <c r="G344" s="95"/>
      <c r="H344" s="95"/>
      <c r="L344" s="96"/>
    </row>
    <row r="345">
      <c r="G345" s="95"/>
      <c r="H345" s="95"/>
      <c r="L345" s="96"/>
    </row>
    <row r="346">
      <c r="G346" s="95"/>
      <c r="H346" s="95"/>
      <c r="L346" s="96"/>
    </row>
    <row r="347">
      <c r="G347" s="95"/>
      <c r="H347" s="95"/>
      <c r="L347" s="96"/>
    </row>
    <row r="348">
      <c r="G348" s="95"/>
      <c r="H348" s="95"/>
      <c r="L348" s="96"/>
    </row>
    <row r="349">
      <c r="G349" s="95"/>
      <c r="H349" s="95"/>
      <c r="L349" s="96"/>
    </row>
    <row r="350">
      <c r="G350" s="95"/>
      <c r="H350" s="95"/>
      <c r="L350" s="96"/>
    </row>
    <row r="351">
      <c r="G351" s="95"/>
      <c r="H351" s="95"/>
      <c r="L351" s="96"/>
    </row>
    <row r="352">
      <c r="G352" s="95"/>
      <c r="H352" s="95"/>
      <c r="L352" s="96"/>
    </row>
    <row r="353">
      <c r="G353" s="95"/>
      <c r="H353" s="95"/>
      <c r="L353" s="96"/>
    </row>
    <row r="354">
      <c r="G354" s="95"/>
      <c r="H354" s="95"/>
      <c r="L354" s="96"/>
    </row>
    <row r="355">
      <c r="G355" s="95"/>
      <c r="H355" s="95"/>
      <c r="L355" s="96"/>
    </row>
    <row r="356">
      <c r="G356" s="95"/>
      <c r="H356" s="95"/>
      <c r="L356" s="96"/>
    </row>
    <row r="357">
      <c r="G357" s="95"/>
      <c r="H357" s="95"/>
      <c r="L357" s="96"/>
    </row>
    <row r="358">
      <c r="G358" s="95"/>
      <c r="H358" s="95"/>
      <c r="L358" s="96"/>
    </row>
    <row r="359">
      <c r="G359" s="95"/>
      <c r="H359" s="95"/>
      <c r="L359" s="96"/>
    </row>
    <row r="360">
      <c r="G360" s="95"/>
      <c r="H360" s="95"/>
      <c r="L360" s="96"/>
    </row>
    <row r="361">
      <c r="G361" s="95"/>
      <c r="H361" s="95"/>
      <c r="L361" s="96"/>
    </row>
    <row r="362">
      <c r="G362" s="95"/>
      <c r="H362" s="95"/>
      <c r="L362" s="96"/>
    </row>
    <row r="363">
      <c r="G363" s="95"/>
      <c r="H363" s="95"/>
      <c r="L363" s="96"/>
    </row>
    <row r="364">
      <c r="G364" s="95"/>
      <c r="H364" s="95"/>
      <c r="L364" s="96"/>
    </row>
    <row r="365">
      <c r="G365" s="95"/>
      <c r="H365" s="95"/>
      <c r="L365" s="96"/>
    </row>
    <row r="366">
      <c r="G366" s="95"/>
      <c r="H366" s="95"/>
      <c r="L366" s="96"/>
    </row>
    <row r="367">
      <c r="G367" s="95"/>
      <c r="H367" s="95"/>
      <c r="L367" s="96"/>
    </row>
    <row r="368">
      <c r="G368" s="95"/>
      <c r="H368" s="95"/>
      <c r="L368" s="96"/>
    </row>
    <row r="369">
      <c r="G369" s="95"/>
      <c r="H369" s="95"/>
      <c r="L369" s="96"/>
    </row>
    <row r="370">
      <c r="G370" s="95"/>
      <c r="H370" s="95"/>
      <c r="L370" s="96"/>
    </row>
    <row r="371">
      <c r="G371" s="95"/>
      <c r="H371" s="95"/>
      <c r="L371" s="96"/>
    </row>
    <row r="372">
      <c r="G372" s="95"/>
      <c r="H372" s="95"/>
      <c r="L372" s="96"/>
    </row>
    <row r="373">
      <c r="G373" s="95"/>
      <c r="H373" s="95"/>
      <c r="L373" s="96"/>
    </row>
    <row r="374">
      <c r="G374" s="95"/>
      <c r="H374" s="95"/>
      <c r="L374" s="96"/>
    </row>
    <row r="375">
      <c r="G375" s="95"/>
      <c r="H375" s="95"/>
      <c r="L375" s="96"/>
    </row>
    <row r="376">
      <c r="G376" s="95"/>
      <c r="H376" s="95"/>
      <c r="L376" s="96"/>
    </row>
    <row r="377">
      <c r="G377" s="95"/>
      <c r="H377" s="95"/>
      <c r="L377" s="96"/>
    </row>
    <row r="378">
      <c r="G378" s="95"/>
      <c r="H378" s="95"/>
      <c r="L378" s="96"/>
    </row>
    <row r="379">
      <c r="G379" s="95"/>
      <c r="H379" s="95"/>
      <c r="L379" s="96"/>
    </row>
    <row r="380">
      <c r="G380" s="95"/>
      <c r="H380" s="95"/>
      <c r="L380" s="96"/>
    </row>
    <row r="381">
      <c r="G381" s="95"/>
      <c r="H381" s="95"/>
      <c r="L381" s="96"/>
    </row>
    <row r="382">
      <c r="G382" s="95"/>
      <c r="H382" s="95"/>
      <c r="L382" s="96"/>
    </row>
    <row r="383">
      <c r="G383" s="95"/>
      <c r="H383" s="95"/>
      <c r="L383" s="96"/>
    </row>
    <row r="384">
      <c r="G384" s="95"/>
      <c r="H384" s="95"/>
      <c r="L384" s="96"/>
    </row>
    <row r="385">
      <c r="G385" s="95"/>
      <c r="H385" s="95"/>
      <c r="L385" s="96"/>
    </row>
    <row r="386">
      <c r="G386" s="95"/>
      <c r="H386" s="95"/>
      <c r="L386" s="96"/>
    </row>
    <row r="387">
      <c r="G387" s="95"/>
      <c r="H387" s="95"/>
      <c r="L387" s="96"/>
    </row>
    <row r="388">
      <c r="G388" s="95"/>
      <c r="H388" s="95"/>
      <c r="L388" s="96"/>
    </row>
    <row r="389">
      <c r="G389" s="95"/>
      <c r="H389" s="95"/>
      <c r="L389" s="96"/>
    </row>
    <row r="390">
      <c r="G390" s="95"/>
      <c r="H390" s="95"/>
      <c r="L390" s="96"/>
    </row>
    <row r="391">
      <c r="G391" s="95"/>
      <c r="H391" s="95"/>
      <c r="L391" s="96"/>
    </row>
    <row r="392">
      <c r="G392" s="95"/>
      <c r="H392" s="95"/>
      <c r="L392" s="96"/>
    </row>
    <row r="393">
      <c r="G393" s="95"/>
      <c r="H393" s="95"/>
      <c r="L393" s="96"/>
    </row>
    <row r="394">
      <c r="G394" s="95"/>
      <c r="H394" s="95"/>
      <c r="L394" s="96"/>
    </row>
    <row r="395">
      <c r="G395" s="95"/>
      <c r="H395" s="95"/>
      <c r="L395" s="96"/>
    </row>
    <row r="396">
      <c r="G396" s="95"/>
      <c r="H396" s="95"/>
      <c r="L396" s="96"/>
    </row>
    <row r="397">
      <c r="G397" s="95"/>
      <c r="H397" s="95"/>
      <c r="L397" s="96"/>
    </row>
    <row r="398">
      <c r="G398" s="95"/>
      <c r="H398" s="95"/>
      <c r="L398" s="96"/>
    </row>
    <row r="399">
      <c r="G399" s="95"/>
      <c r="H399" s="95"/>
      <c r="L399" s="96"/>
    </row>
    <row r="400">
      <c r="G400" s="95"/>
      <c r="H400" s="95"/>
      <c r="L400" s="96"/>
    </row>
    <row r="401">
      <c r="G401" s="95"/>
      <c r="H401" s="95"/>
      <c r="L401" s="96"/>
    </row>
    <row r="402">
      <c r="G402" s="95"/>
      <c r="H402" s="95"/>
      <c r="L402" s="96"/>
    </row>
    <row r="403">
      <c r="G403" s="95"/>
      <c r="H403" s="95"/>
      <c r="L403" s="96"/>
    </row>
    <row r="404">
      <c r="G404" s="95"/>
      <c r="H404" s="95"/>
      <c r="L404" s="96"/>
    </row>
    <row r="405">
      <c r="G405" s="95"/>
      <c r="H405" s="95"/>
      <c r="L405" s="96"/>
    </row>
    <row r="406">
      <c r="G406" s="95"/>
      <c r="H406" s="95"/>
      <c r="L406" s="96"/>
    </row>
    <row r="407">
      <c r="G407" s="95"/>
      <c r="H407" s="95"/>
      <c r="L407" s="96"/>
    </row>
    <row r="408">
      <c r="G408" s="95"/>
      <c r="H408" s="95"/>
      <c r="L408" s="96"/>
    </row>
    <row r="409">
      <c r="G409" s="95"/>
      <c r="H409" s="95"/>
      <c r="L409" s="96"/>
    </row>
    <row r="410">
      <c r="G410" s="95"/>
      <c r="H410" s="95"/>
      <c r="L410" s="96"/>
    </row>
    <row r="411">
      <c r="G411" s="95"/>
      <c r="H411" s="95"/>
      <c r="L411" s="96"/>
    </row>
    <row r="412">
      <c r="G412" s="95"/>
      <c r="H412" s="95"/>
      <c r="L412" s="96"/>
    </row>
    <row r="413">
      <c r="G413" s="95"/>
      <c r="H413" s="95"/>
      <c r="L413" s="96"/>
    </row>
    <row r="414">
      <c r="G414" s="95"/>
      <c r="H414" s="95"/>
      <c r="L414" s="96"/>
    </row>
    <row r="415">
      <c r="G415" s="95"/>
      <c r="H415" s="95"/>
      <c r="L415" s="96"/>
    </row>
    <row r="416">
      <c r="G416" s="95"/>
      <c r="H416" s="95"/>
      <c r="L416" s="96"/>
    </row>
    <row r="417">
      <c r="G417" s="95"/>
      <c r="H417" s="95"/>
      <c r="L417" s="96"/>
    </row>
    <row r="418">
      <c r="G418" s="95"/>
      <c r="H418" s="95"/>
      <c r="L418" s="96"/>
    </row>
    <row r="419">
      <c r="G419" s="95"/>
      <c r="H419" s="95"/>
      <c r="L419" s="96"/>
    </row>
    <row r="420">
      <c r="G420" s="95"/>
      <c r="H420" s="95"/>
      <c r="L420" s="96"/>
    </row>
    <row r="421">
      <c r="G421" s="95"/>
      <c r="H421" s="95"/>
      <c r="L421" s="96"/>
    </row>
    <row r="422">
      <c r="G422" s="95"/>
      <c r="H422" s="95"/>
      <c r="L422" s="96"/>
    </row>
    <row r="423">
      <c r="G423" s="95"/>
      <c r="H423" s="95"/>
      <c r="L423" s="96"/>
    </row>
    <row r="424">
      <c r="G424" s="95"/>
      <c r="H424" s="95"/>
      <c r="L424" s="96"/>
    </row>
    <row r="425">
      <c r="G425" s="95"/>
      <c r="H425" s="95"/>
      <c r="L425" s="96"/>
    </row>
    <row r="426">
      <c r="G426" s="95"/>
      <c r="H426" s="95"/>
      <c r="L426" s="96"/>
    </row>
    <row r="427">
      <c r="G427" s="95"/>
      <c r="H427" s="95"/>
      <c r="L427" s="96"/>
    </row>
    <row r="428">
      <c r="G428" s="95"/>
      <c r="H428" s="95"/>
      <c r="L428" s="96"/>
    </row>
    <row r="429">
      <c r="G429" s="95"/>
      <c r="H429" s="95"/>
      <c r="L429" s="96"/>
    </row>
    <row r="430">
      <c r="G430" s="95"/>
      <c r="H430" s="95"/>
      <c r="L430" s="96"/>
    </row>
    <row r="431">
      <c r="G431" s="95"/>
      <c r="H431" s="95"/>
      <c r="L431" s="96"/>
    </row>
    <row r="432">
      <c r="G432" s="95"/>
      <c r="H432" s="95"/>
      <c r="L432" s="96"/>
    </row>
    <row r="433">
      <c r="G433" s="95"/>
      <c r="H433" s="95"/>
      <c r="L433" s="96"/>
    </row>
    <row r="434">
      <c r="G434" s="95"/>
      <c r="H434" s="95"/>
      <c r="L434" s="96"/>
    </row>
    <row r="435">
      <c r="G435" s="95"/>
      <c r="H435" s="95"/>
      <c r="L435" s="96"/>
    </row>
    <row r="436">
      <c r="G436" s="95"/>
      <c r="H436" s="95"/>
      <c r="L436" s="96"/>
    </row>
    <row r="437">
      <c r="G437" s="95"/>
      <c r="H437" s="95"/>
      <c r="L437" s="96"/>
    </row>
    <row r="438">
      <c r="G438" s="95"/>
      <c r="H438" s="95"/>
      <c r="L438" s="96"/>
    </row>
    <row r="439">
      <c r="G439" s="95"/>
      <c r="H439" s="95"/>
      <c r="L439" s="96"/>
    </row>
    <row r="440">
      <c r="G440" s="95"/>
      <c r="H440" s="95"/>
      <c r="L440" s="96"/>
    </row>
    <row r="441">
      <c r="G441" s="95"/>
      <c r="H441" s="95"/>
      <c r="L441" s="96"/>
    </row>
    <row r="442">
      <c r="G442" s="95"/>
      <c r="H442" s="95"/>
      <c r="L442" s="96"/>
    </row>
    <row r="443">
      <c r="G443" s="95"/>
      <c r="H443" s="95"/>
      <c r="L443" s="96"/>
    </row>
    <row r="444">
      <c r="G444" s="95"/>
      <c r="H444" s="95"/>
      <c r="L444" s="96"/>
    </row>
    <row r="445">
      <c r="G445" s="95"/>
      <c r="H445" s="95"/>
      <c r="L445" s="96"/>
    </row>
    <row r="446">
      <c r="G446" s="95"/>
      <c r="H446" s="95"/>
      <c r="L446" s="96"/>
    </row>
    <row r="447">
      <c r="G447" s="95"/>
      <c r="H447" s="95"/>
      <c r="L447" s="96"/>
    </row>
    <row r="448">
      <c r="G448" s="95"/>
      <c r="H448" s="95"/>
      <c r="L448" s="96"/>
    </row>
    <row r="449">
      <c r="G449" s="95"/>
      <c r="H449" s="95"/>
      <c r="L449" s="96"/>
    </row>
    <row r="450">
      <c r="G450" s="95"/>
      <c r="H450" s="95"/>
      <c r="L450" s="96"/>
    </row>
    <row r="451">
      <c r="G451" s="95"/>
      <c r="H451" s="95"/>
      <c r="L451" s="96"/>
    </row>
    <row r="452">
      <c r="G452" s="95"/>
      <c r="H452" s="95"/>
      <c r="L452" s="96"/>
    </row>
    <row r="453">
      <c r="G453" s="95"/>
      <c r="H453" s="95"/>
      <c r="L453" s="96"/>
    </row>
    <row r="454">
      <c r="G454" s="95"/>
      <c r="H454" s="95"/>
      <c r="L454" s="96"/>
    </row>
    <row r="455">
      <c r="G455" s="95"/>
      <c r="H455" s="95"/>
      <c r="L455" s="96"/>
    </row>
    <row r="456">
      <c r="G456" s="95"/>
      <c r="H456" s="95"/>
      <c r="L456" s="96"/>
    </row>
    <row r="457">
      <c r="G457" s="95"/>
      <c r="H457" s="95"/>
      <c r="L457" s="96"/>
    </row>
    <row r="458">
      <c r="G458" s="95"/>
      <c r="H458" s="95"/>
      <c r="L458" s="96"/>
    </row>
    <row r="459">
      <c r="G459" s="95"/>
      <c r="H459" s="95"/>
      <c r="L459" s="96"/>
    </row>
    <row r="460">
      <c r="G460" s="95"/>
      <c r="H460" s="95"/>
      <c r="L460" s="96"/>
    </row>
    <row r="461">
      <c r="G461" s="95"/>
      <c r="H461" s="95"/>
      <c r="L461" s="96"/>
    </row>
    <row r="462">
      <c r="G462" s="95"/>
      <c r="H462" s="95"/>
      <c r="L462" s="96"/>
    </row>
    <row r="463">
      <c r="G463" s="95"/>
      <c r="H463" s="95"/>
      <c r="L463" s="96"/>
    </row>
    <row r="464">
      <c r="G464" s="95"/>
      <c r="H464" s="95"/>
      <c r="L464" s="96"/>
    </row>
    <row r="465">
      <c r="G465" s="95"/>
      <c r="H465" s="95"/>
      <c r="L465" s="96"/>
    </row>
    <row r="466">
      <c r="G466" s="95"/>
      <c r="H466" s="95"/>
      <c r="L466" s="96"/>
    </row>
    <row r="467">
      <c r="G467" s="95"/>
      <c r="H467" s="95"/>
      <c r="L467" s="96"/>
    </row>
    <row r="468">
      <c r="G468" s="95"/>
      <c r="H468" s="95"/>
      <c r="L468" s="96"/>
    </row>
    <row r="469">
      <c r="G469" s="95"/>
      <c r="H469" s="95"/>
      <c r="L469" s="96"/>
    </row>
    <row r="470">
      <c r="G470" s="95"/>
      <c r="H470" s="95"/>
      <c r="L470" s="96"/>
    </row>
    <row r="471">
      <c r="G471" s="95"/>
      <c r="H471" s="95"/>
      <c r="L471" s="96"/>
    </row>
    <row r="472">
      <c r="G472" s="95"/>
      <c r="H472" s="95"/>
      <c r="L472" s="96"/>
    </row>
    <row r="473">
      <c r="G473" s="95"/>
      <c r="H473" s="95"/>
      <c r="L473" s="96"/>
    </row>
    <row r="474">
      <c r="G474" s="95"/>
      <c r="H474" s="95"/>
      <c r="L474" s="96"/>
    </row>
    <row r="475">
      <c r="G475" s="95"/>
      <c r="H475" s="95"/>
      <c r="L475" s="96"/>
    </row>
    <row r="476">
      <c r="G476" s="95"/>
      <c r="H476" s="95"/>
      <c r="L476" s="96"/>
    </row>
    <row r="477">
      <c r="G477" s="95"/>
      <c r="H477" s="95"/>
      <c r="L477" s="96"/>
    </row>
    <row r="478">
      <c r="G478" s="95"/>
      <c r="H478" s="95"/>
      <c r="L478" s="96"/>
    </row>
    <row r="479">
      <c r="G479" s="95"/>
      <c r="H479" s="95"/>
      <c r="L479" s="96"/>
    </row>
    <row r="480">
      <c r="G480" s="95"/>
      <c r="H480" s="95"/>
      <c r="L480" s="96"/>
    </row>
    <row r="481">
      <c r="G481" s="95"/>
      <c r="H481" s="95"/>
      <c r="L481" s="96"/>
    </row>
    <row r="482">
      <c r="G482" s="95"/>
      <c r="H482" s="95"/>
      <c r="L482" s="96"/>
    </row>
    <row r="483">
      <c r="G483" s="95"/>
      <c r="H483" s="95"/>
      <c r="L483" s="96"/>
    </row>
    <row r="484">
      <c r="G484" s="95"/>
      <c r="H484" s="95"/>
      <c r="L484" s="96"/>
    </row>
    <row r="485">
      <c r="G485" s="95"/>
      <c r="H485" s="95"/>
      <c r="L485" s="96"/>
    </row>
    <row r="486">
      <c r="G486" s="95"/>
      <c r="H486" s="95"/>
      <c r="L486" s="96"/>
    </row>
    <row r="487">
      <c r="G487" s="95"/>
      <c r="H487" s="95"/>
      <c r="L487" s="96"/>
    </row>
    <row r="488">
      <c r="G488" s="95"/>
      <c r="H488" s="95"/>
      <c r="L488" s="96"/>
    </row>
    <row r="489">
      <c r="G489" s="95"/>
      <c r="H489" s="95"/>
      <c r="L489" s="96"/>
    </row>
    <row r="490">
      <c r="G490" s="95"/>
      <c r="H490" s="95"/>
      <c r="L490" s="96"/>
    </row>
    <row r="491">
      <c r="G491" s="95"/>
      <c r="H491" s="95"/>
      <c r="L491" s="96"/>
    </row>
    <row r="492">
      <c r="G492" s="95"/>
      <c r="H492" s="95"/>
      <c r="L492" s="96"/>
    </row>
    <row r="493">
      <c r="G493" s="95"/>
      <c r="H493" s="95"/>
      <c r="L493" s="96"/>
    </row>
    <row r="494">
      <c r="G494" s="95"/>
      <c r="H494" s="95"/>
      <c r="L494" s="96"/>
    </row>
    <row r="495">
      <c r="G495" s="95"/>
      <c r="H495" s="95"/>
      <c r="L495" s="96"/>
    </row>
    <row r="496">
      <c r="G496" s="95"/>
      <c r="H496" s="95"/>
      <c r="L496" s="96"/>
    </row>
    <row r="497">
      <c r="G497" s="95"/>
      <c r="H497" s="95"/>
      <c r="L497" s="96"/>
    </row>
    <row r="498">
      <c r="G498" s="95"/>
      <c r="H498" s="95"/>
      <c r="L498" s="96"/>
    </row>
    <row r="499">
      <c r="G499" s="95"/>
      <c r="H499" s="95"/>
      <c r="L499" s="96"/>
    </row>
    <row r="500">
      <c r="G500" s="95"/>
      <c r="H500" s="95"/>
      <c r="L500" s="96"/>
    </row>
    <row r="501">
      <c r="G501" s="95"/>
      <c r="H501" s="95"/>
      <c r="L501" s="96"/>
    </row>
    <row r="502">
      <c r="G502" s="95"/>
      <c r="H502" s="95"/>
      <c r="L502" s="96"/>
    </row>
    <row r="503">
      <c r="G503" s="95"/>
      <c r="H503" s="95"/>
      <c r="L503" s="96"/>
    </row>
    <row r="504">
      <c r="G504" s="95"/>
      <c r="H504" s="95"/>
      <c r="L504" s="96"/>
    </row>
    <row r="505">
      <c r="G505" s="95"/>
      <c r="H505" s="95"/>
      <c r="L505" s="96"/>
    </row>
    <row r="506">
      <c r="G506" s="95"/>
      <c r="H506" s="95"/>
      <c r="L506" s="96"/>
    </row>
    <row r="507">
      <c r="G507" s="95"/>
      <c r="H507" s="95"/>
      <c r="L507" s="96"/>
    </row>
    <row r="508">
      <c r="G508" s="95"/>
      <c r="H508" s="95"/>
      <c r="L508" s="96"/>
    </row>
    <row r="509">
      <c r="G509" s="95"/>
      <c r="H509" s="95"/>
      <c r="L509" s="96"/>
    </row>
    <row r="510">
      <c r="G510" s="95"/>
      <c r="H510" s="95"/>
      <c r="L510" s="96"/>
    </row>
    <row r="511">
      <c r="G511" s="95"/>
      <c r="H511" s="95"/>
      <c r="L511" s="96"/>
    </row>
    <row r="512">
      <c r="G512" s="95"/>
      <c r="H512" s="95"/>
      <c r="L512" s="96"/>
    </row>
    <row r="513">
      <c r="G513" s="95"/>
      <c r="H513" s="95"/>
      <c r="L513" s="96"/>
    </row>
    <row r="514">
      <c r="G514" s="95"/>
      <c r="H514" s="95"/>
      <c r="L514" s="96"/>
    </row>
    <row r="515">
      <c r="G515" s="95"/>
      <c r="H515" s="95"/>
      <c r="L515" s="96"/>
    </row>
    <row r="516">
      <c r="G516" s="95"/>
      <c r="H516" s="95"/>
      <c r="L516" s="96"/>
    </row>
    <row r="517">
      <c r="G517" s="95"/>
      <c r="H517" s="95"/>
      <c r="L517" s="96"/>
    </row>
    <row r="518">
      <c r="G518" s="95"/>
      <c r="H518" s="95"/>
      <c r="L518" s="96"/>
    </row>
    <row r="519">
      <c r="G519" s="95"/>
      <c r="H519" s="95"/>
      <c r="L519" s="96"/>
    </row>
    <row r="520">
      <c r="G520" s="95"/>
      <c r="H520" s="95"/>
      <c r="L520" s="96"/>
    </row>
    <row r="521">
      <c r="G521" s="95"/>
      <c r="H521" s="95"/>
      <c r="L521" s="96"/>
    </row>
    <row r="522">
      <c r="G522" s="95"/>
      <c r="H522" s="95"/>
      <c r="L522" s="96"/>
    </row>
    <row r="523">
      <c r="G523" s="95"/>
      <c r="H523" s="95"/>
      <c r="L523" s="96"/>
    </row>
    <row r="524">
      <c r="G524" s="95"/>
      <c r="H524" s="95"/>
      <c r="L524" s="96"/>
    </row>
    <row r="525">
      <c r="G525" s="95"/>
      <c r="H525" s="95"/>
      <c r="L525" s="96"/>
    </row>
    <row r="526">
      <c r="G526" s="95"/>
      <c r="H526" s="95"/>
      <c r="L526" s="96"/>
    </row>
    <row r="527">
      <c r="G527" s="95"/>
      <c r="H527" s="95"/>
      <c r="L527" s="96"/>
    </row>
    <row r="528">
      <c r="G528" s="95"/>
      <c r="H528" s="95"/>
      <c r="L528" s="96"/>
    </row>
    <row r="529">
      <c r="G529" s="95"/>
      <c r="H529" s="95"/>
      <c r="L529" s="96"/>
    </row>
    <row r="530">
      <c r="G530" s="95"/>
      <c r="H530" s="95"/>
      <c r="L530" s="96"/>
    </row>
    <row r="531">
      <c r="G531" s="95"/>
      <c r="H531" s="95"/>
      <c r="L531" s="96"/>
    </row>
    <row r="532">
      <c r="G532" s="95"/>
      <c r="H532" s="95"/>
      <c r="L532" s="96"/>
    </row>
    <row r="533">
      <c r="G533" s="95"/>
      <c r="H533" s="95"/>
      <c r="L533" s="96"/>
    </row>
    <row r="534">
      <c r="G534" s="95"/>
      <c r="H534" s="95"/>
      <c r="L534" s="96"/>
    </row>
    <row r="535">
      <c r="G535" s="95"/>
      <c r="H535" s="95"/>
      <c r="L535" s="96"/>
    </row>
    <row r="536">
      <c r="G536" s="95"/>
      <c r="H536" s="95"/>
      <c r="L536" s="96"/>
    </row>
    <row r="537">
      <c r="G537" s="95"/>
      <c r="H537" s="95"/>
      <c r="L537" s="96"/>
    </row>
    <row r="538">
      <c r="G538" s="95"/>
      <c r="H538" s="95"/>
      <c r="L538" s="96"/>
    </row>
    <row r="539">
      <c r="G539" s="95"/>
      <c r="H539" s="95"/>
      <c r="L539" s="96"/>
    </row>
    <row r="540">
      <c r="G540" s="95"/>
      <c r="H540" s="95"/>
      <c r="L540" s="96"/>
    </row>
    <row r="541">
      <c r="G541" s="95"/>
      <c r="H541" s="95"/>
      <c r="L541" s="96"/>
    </row>
    <row r="542">
      <c r="G542" s="95"/>
      <c r="H542" s="95"/>
      <c r="L542" s="96"/>
    </row>
    <row r="543">
      <c r="G543" s="95"/>
      <c r="H543" s="95"/>
      <c r="L543" s="96"/>
    </row>
    <row r="544">
      <c r="G544" s="95"/>
      <c r="H544" s="95"/>
      <c r="L544" s="96"/>
    </row>
    <row r="545">
      <c r="G545" s="95"/>
      <c r="H545" s="95"/>
      <c r="L545" s="96"/>
    </row>
    <row r="546">
      <c r="G546" s="95"/>
      <c r="H546" s="95"/>
      <c r="L546" s="96"/>
    </row>
    <row r="547">
      <c r="G547" s="95"/>
      <c r="H547" s="95"/>
      <c r="L547" s="96"/>
    </row>
    <row r="548">
      <c r="G548" s="95"/>
      <c r="H548" s="95"/>
      <c r="L548" s="96"/>
    </row>
    <row r="549">
      <c r="G549" s="95"/>
      <c r="H549" s="95"/>
      <c r="L549" s="96"/>
    </row>
    <row r="550">
      <c r="G550" s="95"/>
      <c r="H550" s="95"/>
      <c r="L550" s="96"/>
    </row>
    <row r="551">
      <c r="G551" s="95"/>
      <c r="H551" s="95"/>
      <c r="L551" s="96"/>
    </row>
    <row r="552">
      <c r="G552" s="95"/>
      <c r="H552" s="95"/>
      <c r="L552" s="96"/>
    </row>
    <row r="553">
      <c r="G553" s="95"/>
      <c r="H553" s="95"/>
      <c r="L553" s="96"/>
    </row>
    <row r="554">
      <c r="G554" s="95"/>
      <c r="H554" s="95"/>
      <c r="L554" s="96"/>
    </row>
    <row r="555">
      <c r="G555" s="95"/>
      <c r="H555" s="95"/>
      <c r="L555" s="96"/>
    </row>
    <row r="556">
      <c r="G556" s="95"/>
      <c r="H556" s="95"/>
      <c r="L556" s="96"/>
    </row>
    <row r="557">
      <c r="G557" s="95"/>
      <c r="H557" s="95"/>
      <c r="L557" s="96"/>
    </row>
    <row r="558">
      <c r="G558" s="95"/>
      <c r="H558" s="95"/>
      <c r="L558" s="96"/>
    </row>
    <row r="559">
      <c r="G559" s="95"/>
      <c r="H559" s="95"/>
      <c r="L559" s="96"/>
    </row>
    <row r="560">
      <c r="G560" s="95"/>
      <c r="H560" s="95"/>
      <c r="L560" s="96"/>
    </row>
    <row r="561">
      <c r="G561" s="95"/>
      <c r="H561" s="95"/>
      <c r="L561" s="96"/>
    </row>
    <row r="562">
      <c r="G562" s="95"/>
      <c r="H562" s="95"/>
      <c r="L562" s="96"/>
    </row>
    <row r="563">
      <c r="G563" s="95"/>
      <c r="H563" s="95"/>
      <c r="L563" s="96"/>
    </row>
    <row r="564">
      <c r="G564" s="95"/>
      <c r="H564" s="95"/>
      <c r="L564" s="96"/>
    </row>
    <row r="565">
      <c r="G565" s="95"/>
      <c r="H565" s="95"/>
      <c r="L565" s="96"/>
    </row>
    <row r="566">
      <c r="G566" s="95"/>
      <c r="H566" s="95"/>
      <c r="L566" s="96"/>
    </row>
    <row r="567">
      <c r="G567" s="95"/>
      <c r="H567" s="95"/>
      <c r="L567" s="96"/>
    </row>
    <row r="568">
      <c r="G568" s="95"/>
      <c r="H568" s="95"/>
      <c r="L568" s="96"/>
    </row>
    <row r="569">
      <c r="G569" s="95"/>
      <c r="H569" s="95"/>
      <c r="L569" s="96"/>
    </row>
    <row r="570">
      <c r="G570" s="95"/>
      <c r="H570" s="95"/>
      <c r="L570" s="96"/>
    </row>
    <row r="571">
      <c r="G571" s="95"/>
      <c r="H571" s="95"/>
      <c r="L571" s="96"/>
    </row>
    <row r="572">
      <c r="G572" s="95"/>
      <c r="H572" s="95"/>
      <c r="L572" s="96"/>
    </row>
    <row r="573">
      <c r="G573" s="95"/>
      <c r="H573" s="95"/>
      <c r="L573" s="96"/>
    </row>
    <row r="574">
      <c r="G574" s="95"/>
      <c r="H574" s="95"/>
      <c r="L574" s="96"/>
    </row>
    <row r="575">
      <c r="G575" s="95"/>
      <c r="H575" s="95"/>
      <c r="L575" s="96"/>
    </row>
    <row r="576">
      <c r="G576" s="95"/>
      <c r="H576" s="95"/>
      <c r="L576" s="96"/>
    </row>
    <row r="577">
      <c r="G577" s="95"/>
      <c r="H577" s="95"/>
      <c r="L577" s="96"/>
    </row>
    <row r="578">
      <c r="G578" s="95"/>
      <c r="H578" s="95"/>
      <c r="L578" s="96"/>
    </row>
    <row r="579">
      <c r="G579" s="95"/>
      <c r="H579" s="95"/>
      <c r="L579" s="96"/>
    </row>
    <row r="580">
      <c r="G580" s="95"/>
      <c r="H580" s="95"/>
      <c r="L580" s="96"/>
    </row>
    <row r="581">
      <c r="G581" s="95"/>
      <c r="H581" s="95"/>
      <c r="L581" s="96"/>
    </row>
    <row r="582">
      <c r="G582" s="95"/>
      <c r="H582" s="95"/>
      <c r="L582" s="96"/>
    </row>
    <row r="583">
      <c r="G583" s="95"/>
      <c r="H583" s="95"/>
      <c r="L583" s="96"/>
    </row>
    <row r="584">
      <c r="G584" s="95"/>
      <c r="H584" s="95"/>
      <c r="L584" s="96"/>
    </row>
    <row r="585">
      <c r="G585" s="95"/>
      <c r="H585" s="95"/>
      <c r="L585" s="96"/>
    </row>
    <row r="586">
      <c r="G586" s="95"/>
      <c r="H586" s="95"/>
      <c r="L586" s="96"/>
    </row>
    <row r="587">
      <c r="G587" s="95"/>
      <c r="H587" s="95"/>
      <c r="L587" s="96"/>
    </row>
    <row r="588">
      <c r="G588" s="95"/>
      <c r="H588" s="95"/>
      <c r="L588" s="96"/>
    </row>
    <row r="589">
      <c r="G589" s="95"/>
      <c r="H589" s="95"/>
      <c r="L589" s="96"/>
    </row>
    <row r="590">
      <c r="G590" s="95"/>
      <c r="H590" s="95"/>
      <c r="L590" s="96"/>
    </row>
    <row r="591">
      <c r="G591" s="95"/>
      <c r="H591" s="95"/>
      <c r="L591" s="96"/>
    </row>
    <row r="592">
      <c r="G592" s="95"/>
      <c r="H592" s="95"/>
      <c r="L592" s="96"/>
    </row>
    <row r="593">
      <c r="G593" s="95"/>
      <c r="H593" s="95"/>
      <c r="L593" s="96"/>
    </row>
    <row r="594">
      <c r="G594" s="95"/>
      <c r="H594" s="95"/>
      <c r="L594" s="96"/>
    </row>
    <row r="595">
      <c r="G595" s="95"/>
      <c r="H595" s="95"/>
      <c r="L595" s="96"/>
    </row>
    <row r="596">
      <c r="G596" s="95"/>
      <c r="H596" s="95"/>
      <c r="L596" s="96"/>
    </row>
    <row r="597">
      <c r="G597" s="95"/>
      <c r="H597" s="95"/>
      <c r="L597" s="96"/>
    </row>
    <row r="598">
      <c r="G598" s="95"/>
      <c r="H598" s="95"/>
      <c r="L598" s="96"/>
    </row>
    <row r="599">
      <c r="G599" s="95"/>
      <c r="H599" s="95"/>
      <c r="L599" s="96"/>
    </row>
    <row r="600">
      <c r="G600" s="95"/>
      <c r="H600" s="95"/>
      <c r="L600" s="96"/>
    </row>
    <row r="601">
      <c r="G601" s="95"/>
      <c r="H601" s="95"/>
      <c r="L601" s="96"/>
    </row>
    <row r="602">
      <c r="G602" s="95"/>
      <c r="H602" s="95"/>
      <c r="L602" s="96"/>
    </row>
    <row r="603">
      <c r="G603" s="95"/>
      <c r="H603" s="95"/>
      <c r="L603" s="96"/>
    </row>
    <row r="604">
      <c r="G604" s="95"/>
      <c r="H604" s="95"/>
      <c r="L604" s="96"/>
    </row>
    <row r="605">
      <c r="G605" s="95"/>
      <c r="H605" s="95"/>
      <c r="L605" s="96"/>
    </row>
    <row r="606">
      <c r="G606" s="95"/>
      <c r="H606" s="95"/>
      <c r="L606" s="96"/>
    </row>
    <row r="607">
      <c r="G607" s="95"/>
      <c r="H607" s="95"/>
      <c r="L607" s="96"/>
    </row>
    <row r="608">
      <c r="G608" s="95"/>
      <c r="H608" s="95"/>
      <c r="L608" s="96"/>
    </row>
    <row r="609">
      <c r="G609" s="95"/>
      <c r="H609" s="95"/>
      <c r="L609" s="96"/>
    </row>
    <row r="610">
      <c r="G610" s="95"/>
      <c r="H610" s="95"/>
      <c r="L610" s="96"/>
    </row>
    <row r="611">
      <c r="G611" s="95"/>
      <c r="H611" s="95"/>
      <c r="L611" s="96"/>
    </row>
    <row r="612">
      <c r="G612" s="95"/>
      <c r="H612" s="95"/>
      <c r="L612" s="96"/>
    </row>
    <row r="613">
      <c r="G613" s="95"/>
      <c r="H613" s="95"/>
      <c r="L613" s="96"/>
    </row>
    <row r="614">
      <c r="G614" s="95"/>
      <c r="H614" s="95"/>
      <c r="L614" s="96"/>
    </row>
    <row r="615">
      <c r="G615" s="95"/>
      <c r="H615" s="95"/>
      <c r="L615" s="96"/>
    </row>
    <row r="616">
      <c r="G616" s="95"/>
      <c r="H616" s="95"/>
      <c r="L616" s="96"/>
    </row>
    <row r="617">
      <c r="G617" s="95"/>
      <c r="H617" s="95"/>
      <c r="L617" s="96"/>
    </row>
    <row r="618">
      <c r="G618" s="95"/>
      <c r="H618" s="95"/>
      <c r="L618" s="96"/>
    </row>
    <row r="619">
      <c r="G619" s="95"/>
      <c r="H619" s="95"/>
      <c r="L619" s="96"/>
    </row>
    <row r="620">
      <c r="G620" s="95"/>
      <c r="H620" s="95"/>
      <c r="L620" s="96"/>
    </row>
    <row r="621">
      <c r="G621" s="95"/>
      <c r="H621" s="95"/>
      <c r="L621" s="96"/>
    </row>
    <row r="622">
      <c r="G622" s="95"/>
      <c r="H622" s="95"/>
      <c r="L622" s="96"/>
    </row>
    <row r="623">
      <c r="G623" s="95"/>
      <c r="H623" s="95"/>
      <c r="L623" s="96"/>
    </row>
    <row r="624">
      <c r="G624" s="95"/>
      <c r="H624" s="95"/>
      <c r="L624" s="96"/>
    </row>
    <row r="625">
      <c r="G625" s="95"/>
      <c r="H625" s="95"/>
      <c r="L625" s="96"/>
    </row>
    <row r="626">
      <c r="G626" s="95"/>
      <c r="H626" s="95"/>
      <c r="L626" s="96"/>
    </row>
    <row r="627">
      <c r="G627" s="95"/>
      <c r="H627" s="95"/>
      <c r="L627" s="96"/>
    </row>
    <row r="628">
      <c r="G628" s="95"/>
      <c r="H628" s="95"/>
      <c r="L628" s="96"/>
    </row>
    <row r="629">
      <c r="G629" s="95"/>
      <c r="H629" s="95"/>
      <c r="L629" s="96"/>
    </row>
    <row r="630">
      <c r="G630" s="95"/>
      <c r="H630" s="95"/>
      <c r="L630" s="96"/>
    </row>
    <row r="631">
      <c r="G631" s="95"/>
      <c r="H631" s="95"/>
      <c r="L631" s="96"/>
    </row>
    <row r="632">
      <c r="G632" s="95"/>
      <c r="H632" s="95"/>
      <c r="L632" s="96"/>
    </row>
    <row r="633">
      <c r="G633" s="95"/>
      <c r="H633" s="95"/>
      <c r="L633" s="96"/>
    </row>
    <row r="634">
      <c r="G634" s="95"/>
      <c r="H634" s="95"/>
      <c r="L634" s="96"/>
    </row>
    <row r="635">
      <c r="G635" s="95"/>
      <c r="H635" s="95"/>
      <c r="L635" s="96"/>
    </row>
    <row r="636">
      <c r="G636" s="95"/>
      <c r="H636" s="95"/>
      <c r="L636" s="96"/>
    </row>
    <row r="637">
      <c r="G637" s="95"/>
      <c r="H637" s="95"/>
      <c r="L637" s="96"/>
    </row>
    <row r="638">
      <c r="G638" s="95"/>
      <c r="H638" s="95"/>
      <c r="L638" s="96"/>
    </row>
    <row r="639">
      <c r="G639" s="95"/>
      <c r="H639" s="95"/>
      <c r="L639" s="96"/>
    </row>
    <row r="640">
      <c r="G640" s="95"/>
      <c r="H640" s="95"/>
      <c r="L640" s="96"/>
    </row>
    <row r="641">
      <c r="G641" s="95"/>
      <c r="H641" s="95"/>
      <c r="L641" s="96"/>
    </row>
    <row r="642">
      <c r="G642" s="95"/>
      <c r="H642" s="95"/>
      <c r="L642" s="96"/>
    </row>
    <row r="643">
      <c r="G643" s="95"/>
      <c r="H643" s="95"/>
      <c r="L643" s="96"/>
    </row>
    <row r="644">
      <c r="G644" s="95"/>
      <c r="H644" s="95"/>
      <c r="L644" s="96"/>
    </row>
    <row r="645">
      <c r="G645" s="95"/>
      <c r="H645" s="95"/>
      <c r="L645" s="96"/>
    </row>
    <row r="646">
      <c r="G646" s="95"/>
      <c r="H646" s="95"/>
      <c r="L646" s="96"/>
    </row>
    <row r="647">
      <c r="G647" s="95"/>
      <c r="H647" s="95"/>
      <c r="L647" s="96"/>
    </row>
    <row r="648">
      <c r="G648" s="95"/>
      <c r="H648" s="95"/>
      <c r="L648" s="96"/>
    </row>
    <row r="649">
      <c r="G649" s="95"/>
      <c r="H649" s="95"/>
      <c r="L649" s="96"/>
    </row>
    <row r="650">
      <c r="G650" s="95"/>
      <c r="H650" s="95"/>
      <c r="L650" s="96"/>
    </row>
    <row r="651">
      <c r="G651" s="95"/>
      <c r="H651" s="95"/>
      <c r="L651" s="96"/>
    </row>
    <row r="652">
      <c r="G652" s="95"/>
      <c r="H652" s="95"/>
      <c r="L652" s="96"/>
    </row>
    <row r="653">
      <c r="G653" s="95"/>
      <c r="H653" s="95"/>
      <c r="L653" s="96"/>
    </row>
    <row r="654">
      <c r="G654" s="95"/>
      <c r="H654" s="95"/>
      <c r="L654" s="96"/>
    </row>
    <row r="655">
      <c r="G655" s="95"/>
      <c r="H655" s="95"/>
      <c r="L655" s="96"/>
    </row>
    <row r="656">
      <c r="G656" s="95"/>
      <c r="H656" s="95"/>
      <c r="L656" s="96"/>
    </row>
    <row r="657">
      <c r="G657" s="95"/>
      <c r="H657" s="95"/>
      <c r="L657" s="96"/>
    </row>
    <row r="658">
      <c r="G658" s="95"/>
      <c r="H658" s="95"/>
      <c r="L658" s="96"/>
    </row>
    <row r="659">
      <c r="G659" s="95"/>
      <c r="H659" s="95"/>
      <c r="L659" s="96"/>
    </row>
    <row r="660">
      <c r="G660" s="95"/>
      <c r="H660" s="95"/>
      <c r="L660" s="96"/>
    </row>
    <row r="661">
      <c r="G661" s="95"/>
      <c r="H661" s="95"/>
      <c r="L661" s="96"/>
    </row>
    <row r="662">
      <c r="G662" s="95"/>
      <c r="H662" s="95"/>
      <c r="L662" s="96"/>
    </row>
    <row r="663">
      <c r="G663" s="95"/>
      <c r="H663" s="95"/>
      <c r="L663" s="96"/>
    </row>
    <row r="664">
      <c r="G664" s="95"/>
      <c r="H664" s="95"/>
      <c r="L664" s="96"/>
    </row>
    <row r="665">
      <c r="G665" s="95"/>
      <c r="H665" s="95"/>
      <c r="L665" s="96"/>
    </row>
    <row r="666">
      <c r="G666" s="95"/>
      <c r="H666" s="95"/>
      <c r="L666" s="96"/>
    </row>
    <row r="667">
      <c r="G667" s="95"/>
      <c r="H667" s="95"/>
      <c r="L667" s="96"/>
    </row>
    <row r="668">
      <c r="G668" s="95"/>
      <c r="H668" s="95"/>
      <c r="L668" s="96"/>
    </row>
    <row r="669">
      <c r="G669" s="95"/>
      <c r="H669" s="95"/>
      <c r="L669" s="96"/>
    </row>
    <row r="670">
      <c r="G670" s="95"/>
      <c r="H670" s="95"/>
      <c r="L670" s="96"/>
    </row>
    <row r="671">
      <c r="G671" s="95"/>
      <c r="H671" s="95"/>
      <c r="L671" s="96"/>
    </row>
    <row r="672">
      <c r="G672" s="95"/>
      <c r="H672" s="95"/>
      <c r="L672" s="96"/>
    </row>
    <row r="673">
      <c r="G673" s="95"/>
      <c r="H673" s="95"/>
      <c r="L673" s="96"/>
    </row>
    <row r="674">
      <c r="G674" s="95"/>
      <c r="H674" s="95"/>
      <c r="L674" s="96"/>
    </row>
    <row r="675">
      <c r="G675" s="95"/>
      <c r="H675" s="95"/>
      <c r="L675" s="96"/>
    </row>
    <row r="676">
      <c r="G676" s="95"/>
      <c r="H676" s="95"/>
      <c r="L676" s="96"/>
    </row>
    <row r="677">
      <c r="G677" s="95"/>
      <c r="H677" s="95"/>
      <c r="L677" s="96"/>
    </row>
    <row r="678">
      <c r="G678" s="95"/>
      <c r="H678" s="95"/>
      <c r="L678" s="96"/>
    </row>
    <row r="679">
      <c r="G679" s="95"/>
      <c r="H679" s="95"/>
      <c r="L679" s="96"/>
    </row>
    <row r="680">
      <c r="G680" s="95"/>
      <c r="H680" s="95"/>
      <c r="L680" s="96"/>
    </row>
    <row r="681">
      <c r="G681" s="95"/>
      <c r="H681" s="95"/>
      <c r="L681" s="96"/>
    </row>
    <row r="682">
      <c r="G682" s="95"/>
      <c r="H682" s="95"/>
      <c r="L682" s="96"/>
    </row>
    <row r="683">
      <c r="G683" s="95"/>
      <c r="H683" s="95"/>
      <c r="L683" s="96"/>
    </row>
    <row r="684">
      <c r="G684" s="95"/>
      <c r="H684" s="95"/>
      <c r="L684" s="96"/>
    </row>
    <row r="685">
      <c r="G685" s="95"/>
      <c r="H685" s="95"/>
      <c r="L685" s="96"/>
    </row>
    <row r="686">
      <c r="G686" s="95"/>
      <c r="H686" s="95"/>
      <c r="L686" s="96"/>
    </row>
    <row r="687">
      <c r="G687" s="95"/>
      <c r="H687" s="95"/>
      <c r="L687" s="96"/>
    </row>
    <row r="688">
      <c r="G688" s="95"/>
      <c r="H688" s="95"/>
      <c r="L688" s="96"/>
    </row>
    <row r="689">
      <c r="G689" s="95"/>
      <c r="H689" s="95"/>
      <c r="L689" s="96"/>
    </row>
    <row r="690">
      <c r="G690" s="95"/>
      <c r="H690" s="95"/>
      <c r="L690" s="96"/>
    </row>
    <row r="691">
      <c r="G691" s="95"/>
      <c r="H691" s="95"/>
      <c r="L691" s="96"/>
    </row>
    <row r="692">
      <c r="G692" s="95"/>
      <c r="H692" s="95"/>
      <c r="L692" s="96"/>
    </row>
    <row r="693">
      <c r="G693" s="95"/>
      <c r="H693" s="95"/>
      <c r="L693" s="96"/>
    </row>
    <row r="694">
      <c r="G694" s="95"/>
      <c r="H694" s="95"/>
      <c r="L694" s="96"/>
    </row>
    <row r="695">
      <c r="G695" s="95"/>
      <c r="H695" s="95"/>
      <c r="L695" s="96"/>
    </row>
    <row r="696">
      <c r="G696" s="95"/>
      <c r="H696" s="95"/>
      <c r="L696" s="96"/>
    </row>
    <row r="697">
      <c r="G697" s="95"/>
      <c r="H697" s="95"/>
      <c r="L697" s="96"/>
    </row>
    <row r="698">
      <c r="G698" s="95"/>
      <c r="H698" s="95"/>
      <c r="L698" s="96"/>
    </row>
    <row r="699">
      <c r="G699" s="95"/>
      <c r="H699" s="95"/>
      <c r="L699" s="96"/>
    </row>
    <row r="700">
      <c r="G700" s="95"/>
      <c r="H700" s="95"/>
      <c r="L700" s="96"/>
    </row>
    <row r="701">
      <c r="G701" s="95"/>
      <c r="H701" s="95"/>
      <c r="L701" s="96"/>
    </row>
    <row r="702">
      <c r="G702" s="95"/>
      <c r="H702" s="95"/>
      <c r="L702" s="96"/>
    </row>
    <row r="703">
      <c r="G703" s="95"/>
      <c r="H703" s="95"/>
      <c r="L703" s="96"/>
    </row>
    <row r="704">
      <c r="G704" s="95"/>
      <c r="H704" s="95"/>
      <c r="L704" s="96"/>
    </row>
    <row r="705">
      <c r="G705" s="95"/>
      <c r="H705" s="95"/>
      <c r="L705" s="96"/>
    </row>
    <row r="706">
      <c r="G706" s="95"/>
      <c r="H706" s="95"/>
      <c r="L706" s="96"/>
    </row>
    <row r="707">
      <c r="G707" s="95"/>
      <c r="H707" s="95"/>
      <c r="L707" s="96"/>
    </row>
    <row r="708">
      <c r="G708" s="95"/>
      <c r="H708" s="95"/>
      <c r="L708" s="96"/>
    </row>
    <row r="709">
      <c r="G709" s="95"/>
      <c r="H709" s="95"/>
      <c r="L709" s="96"/>
    </row>
    <row r="710">
      <c r="G710" s="95"/>
      <c r="H710" s="95"/>
      <c r="L710" s="96"/>
    </row>
    <row r="711">
      <c r="G711" s="95"/>
      <c r="H711" s="95"/>
      <c r="L711" s="96"/>
    </row>
    <row r="712">
      <c r="G712" s="95"/>
      <c r="H712" s="95"/>
      <c r="L712" s="96"/>
    </row>
    <row r="713">
      <c r="G713" s="95"/>
      <c r="H713" s="95"/>
      <c r="L713" s="96"/>
    </row>
    <row r="714">
      <c r="G714" s="95"/>
      <c r="H714" s="95"/>
      <c r="L714" s="96"/>
    </row>
    <row r="715">
      <c r="G715" s="95"/>
      <c r="H715" s="95"/>
      <c r="L715" s="96"/>
    </row>
    <row r="716">
      <c r="G716" s="95"/>
      <c r="H716" s="95"/>
      <c r="L716" s="96"/>
    </row>
    <row r="717">
      <c r="G717" s="95"/>
      <c r="H717" s="95"/>
      <c r="L717" s="96"/>
    </row>
    <row r="718">
      <c r="G718" s="95"/>
      <c r="H718" s="95"/>
      <c r="L718" s="96"/>
    </row>
    <row r="719">
      <c r="G719" s="95"/>
      <c r="H719" s="95"/>
      <c r="L719" s="96"/>
    </row>
    <row r="720">
      <c r="G720" s="95"/>
      <c r="H720" s="95"/>
      <c r="L720" s="96"/>
    </row>
    <row r="721">
      <c r="G721" s="95"/>
      <c r="H721" s="95"/>
      <c r="L721" s="96"/>
    </row>
    <row r="722">
      <c r="G722" s="95"/>
      <c r="H722" s="95"/>
      <c r="L722" s="96"/>
    </row>
    <row r="723">
      <c r="G723" s="95"/>
      <c r="H723" s="95"/>
      <c r="L723" s="96"/>
    </row>
    <row r="724">
      <c r="G724" s="95"/>
      <c r="H724" s="95"/>
      <c r="L724" s="96"/>
    </row>
    <row r="725">
      <c r="G725" s="95"/>
      <c r="H725" s="95"/>
      <c r="L725" s="96"/>
    </row>
    <row r="726">
      <c r="G726" s="95"/>
      <c r="H726" s="95"/>
      <c r="L726" s="96"/>
    </row>
    <row r="727">
      <c r="G727" s="95"/>
      <c r="H727" s="95"/>
      <c r="L727" s="96"/>
    </row>
    <row r="728">
      <c r="G728" s="95"/>
      <c r="H728" s="95"/>
      <c r="L728" s="96"/>
    </row>
    <row r="729">
      <c r="G729" s="95"/>
      <c r="H729" s="95"/>
      <c r="L729" s="96"/>
    </row>
    <row r="730">
      <c r="G730" s="95"/>
      <c r="H730" s="95"/>
      <c r="L730" s="96"/>
    </row>
    <row r="731">
      <c r="G731" s="95"/>
      <c r="H731" s="95"/>
      <c r="L731" s="96"/>
    </row>
    <row r="732">
      <c r="G732" s="95"/>
      <c r="H732" s="95"/>
      <c r="L732" s="96"/>
    </row>
    <row r="733">
      <c r="G733" s="95"/>
      <c r="H733" s="95"/>
      <c r="L733" s="96"/>
    </row>
    <row r="734">
      <c r="G734" s="95"/>
      <c r="H734" s="95"/>
      <c r="L734" s="96"/>
    </row>
    <row r="735">
      <c r="G735" s="95"/>
      <c r="H735" s="95"/>
      <c r="L735" s="96"/>
    </row>
    <row r="736">
      <c r="G736" s="95"/>
      <c r="H736" s="95"/>
      <c r="L736" s="96"/>
    </row>
    <row r="737">
      <c r="G737" s="95"/>
      <c r="H737" s="95"/>
      <c r="L737" s="96"/>
    </row>
    <row r="738">
      <c r="G738" s="95"/>
      <c r="H738" s="95"/>
      <c r="L738" s="96"/>
    </row>
    <row r="739">
      <c r="G739" s="95"/>
      <c r="H739" s="95"/>
      <c r="L739" s="96"/>
    </row>
    <row r="740">
      <c r="G740" s="95"/>
      <c r="H740" s="95"/>
      <c r="L740" s="96"/>
    </row>
    <row r="741">
      <c r="G741" s="95"/>
      <c r="H741" s="95"/>
      <c r="L741" s="96"/>
    </row>
    <row r="742">
      <c r="G742" s="95"/>
      <c r="H742" s="95"/>
      <c r="L742" s="96"/>
    </row>
    <row r="743">
      <c r="G743" s="95"/>
      <c r="H743" s="95"/>
      <c r="L743" s="96"/>
    </row>
    <row r="744">
      <c r="G744" s="95"/>
      <c r="H744" s="95"/>
      <c r="L744" s="96"/>
    </row>
    <row r="745">
      <c r="G745" s="95"/>
      <c r="H745" s="95"/>
      <c r="L745" s="96"/>
    </row>
    <row r="746">
      <c r="G746" s="95"/>
      <c r="H746" s="95"/>
      <c r="L746" s="96"/>
    </row>
    <row r="747">
      <c r="G747" s="95"/>
      <c r="H747" s="95"/>
      <c r="L747" s="96"/>
    </row>
    <row r="748">
      <c r="G748" s="95"/>
      <c r="H748" s="95"/>
      <c r="L748" s="96"/>
    </row>
    <row r="749">
      <c r="G749" s="95"/>
      <c r="H749" s="95"/>
      <c r="L749" s="96"/>
    </row>
    <row r="750">
      <c r="G750" s="95"/>
      <c r="H750" s="95"/>
      <c r="L750" s="96"/>
    </row>
    <row r="751">
      <c r="G751" s="95"/>
      <c r="H751" s="95"/>
      <c r="L751" s="96"/>
    </row>
    <row r="752">
      <c r="G752" s="95"/>
      <c r="H752" s="95"/>
      <c r="L752" s="96"/>
    </row>
    <row r="753">
      <c r="G753" s="95"/>
      <c r="H753" s="95"/>
      <c r="L753" s="96"/>
    </row>
    <row r="754">
      <c r="G754" s="95"/>
      <c r="H754" s="95"/>
      <c r="L754" s="96"/>
    </row>
    <row r="755">
      <c r="G755" s="95"/>
      <c r="H755" s="95"/>
      <c r="L755" s="96"/>
    </row>
    <row r="756">
      <c r="G756" s="95"/>
      <c r="H756" s="95"/>
      <c r="L756" s="96"/>
    </row>
    <row r="757">
      <c r="G757" s="95"/>
      <c r="H757" s="95"/>
      <c r="L757" s="96"/>
    </row>
    <row r="758">
      <c r="G758" s="95"/>
      <c r="H758" s="95"/>
      <c r="L758" s="96"/>
    </row>
    <row r="759">
      <c r="G759" s="95"/>
      <c r="H759" s="95"/>
      <c r="L759" s="96"/>
    </row>
    <row r="760">
      <c r="G760" s="95"/>
      <c r="H760" s="95"/>
      <c r="L760" s="96"/>
    </row>
    <row r="761">
      <c r="G761" s="95"/>
      <c r="H761" s="95"/>
      <c r="L761" s="96"/>
    </row>
    <row r="762">
      <c r="G762" s="95"/>
      <c r="H762" s="95"/>
      <c r="L762" s="96"/>
    </row>
    <row r="763">
      <c r="G763" s="95"/>
      <c r="H763" s="95"/>
      <c r="L763" s="96"/>
    </row>
    <row r="764">
      <c r="G764" s="95"/>
      <c r="H764" s="95"/>
      <c r="L764" s="96"/>
    </row>
    <row r="765">
      <c r="G765" s="95"/>
      <c r="H765" s="95"/>
      <c r="L765" s="96"/>
    </row>
    <row r="766">
      <c r="G766" s="95"/>
      <c r="H766" s="95"/>
      <c r="L766" s="96"/>
    </row>
    <row r="767">
      <c r="G767" s="95"/>
      <c r="H767" s="95"/>
      <c r="L767" s="96"/>
    </row>
    <row r="768">
      <c r="G768" s="95"/>
      <c r="H768" s="95"/>
      <c r="L768" s="96"/>
    </row>
    <row r="769">
      <c r="G769" s="95"/>
      <c r="H769" s="95"/>
      <c r="L769" s="96"/>
    </row>
    <row r="770">
      <c r="G770" s="95"/>
      <c r="H770" s="95"/>
      <c r="L770" s="96"/>
    </row>
    <row r="771">
      <c r="G771" s="95"/>
      <c r="H771" s="95"/>
      <c r="L771" s="96"/>
    </row>
    <row r="772">
      <c r="G772" s="95"/>
      <c r="H772" s="95"/>
      <c r="L772" s="96"/>
    </row>
    <row r="773">
      <c r="G773" s="95"/>
      <c r="H773" s="95"/>
      <c r="L773" s="96"/>
    </row>
    <row r="774">
      <c r="G774" s="95"/>
      <c r="H774" s="95"/>
      <c r="L774" s="96"/>
    </row>
    <row r="775">
      <c r="G775" s="95"/>
      <c r="H775" s="95"/>
      <c r="L775" s="96"/>
    </row>
    <row r="776">
      <c r="G776" s="95"/>
      <c r="H776" s="95"/>
      <c r="L776" s="96"/>
    </row>
    <row r="777">
      <c r="G777" s="95"/>
      <c r="H777" s="95"/>
      <c r="L777" s="96"/>
    </row>
    <row r="778">
      <c r="G778" s="95"/>
      <c r="H778" s="95"/>
      <c r="L778" s="96"/>
    </row>
    <row r="779">
      <c r="G779" s="95"/>
      <c r="H779" s="95"/>
      <c r="L779" s="96"/>
    </row>
    <row r="780">
      <c r="G780" s="95"/>
      <c r="H780" s="95"/>
      <c r="L780" s="96"/>
    </row>
    <row r="781">
      <c r="G781" s="95"/>
      <c r="H781" s="95"/>
      <c r="L781" s="96"/>
    </row>
    <row r="782">
      <c r="G782" s="95"/>
      <c r="H782" s="95"/>
      <c r="L782" s="96"/>
    </row>
    <row r="783">
      <c r="G783" s="95"/>
      <c r="H783" s="95"/>
      <c r="L783" s="96"/>
    </row>
    <row r="784">
      <c r="G784" s="95"/>
      <c r="H784" s="95"/>
      <c r="L784" s="96"/>
    </row>
    <row r="785">
      <c r="G785" s="95"/>
      <c r="H785" s="95"/>
      <c r="L785" s="96"/>
    </row>
    <row r="786">
      <c r="G786" s="95"/>
      <c r="H786" s="95"/>
      <c r="L786" s="96"/>
    </row>
    <row r="787">
      <c r="G787" s="95"/>
      <c r="H787" s="95"/>
      <c r="L787" s="96"/>
    </row>
    <row r="788">
      <c r="G788" s="95"/>
      <c r="H788" s="95"/>
      <c r="L788" s="96"/>
    </row>
    <row r="789">
      <c r="G789" s="95"/>
      <c r="H789" s="95"/>
      <c r="L789" s="96"/>
    </row>
    <row r="790">
      <c r="G790" s="95"/>
      <c r="H790" s="95"/>
      <c r="L790" s="96"/>
    </row>
    <row r="791">
      <c r="G791" s="95"/>
      <c r="H791" s="95"/>
      <c r="L791" s="96"/>
    </row>
    <row r="792">
      <c r="G792" s="95"/>
      <c r="H792" s="95"/>
      <c r="L792" s="96"/>
    </row>
    <row r="793">
      <c r="G793" s="95"/>
      <c r="H793" s="95"/>
      <c r="L793" s="96"/>
    </row>
    <row r="794">
      <c r="G794" s="95"/>
      <c r="H794" s="95"/>
      <c r="L794" s="96"/>
    </row>
    <row r="795">
      <c r="G795" s="95"/>
      <c r="H795" s="95"/>
      <c r="L795" s="96"/>
    </row>
    <row r="796">
      <c r="G796" s="95"/>
      <c r="H796" s="95"/>
      <c r="L796" s="96"/>
    </row>
    <row r="797">
      <c r="G797" s="95"/>
      <c r="H797" s="95"/>
      <c r="L797" s="96"/>
    </row>
    <row r="798">
      <c r="G798" s="95"/>
      <c r="H798" s="95"/>
      <c r="L798" s="96"/>
    </row>
    <row r="799">
      <c r="G799" s="95"/>
      <c r="H799" s="95"/>
      <c r="L799" s="96"/>
    </row>
    <row r="800">
      <c r="G800" s="95"/>
      <c r="H800" s="95"/>
      <c r="L800" s="96"/>
    </row>
    <row r="801">
      <c r="G801" s="95"/>
      <c r="H801" s="95"/>
      <c r="L801" s="96"/>
    </row>
    <row r="802">
      <c r="G802" s="95"/>
      <c r="H802" s="95"/>
      <c r="L802" s="96"/>
    </row>
    <row r="803">
      <c r="G803" s="95"/>
      <c r="H803" s="95"/>
      <c r="L803" s="96"/>
    </row>
    <row r="804">
      <c r="G804" s="95"/>
      <c r="H804" s="95"/>
      <c r="L804" s="96"/>
    </row>
    <row r="805">
      <c r="G805" s="95"/>
      <c r="H805" s="95"/>
      <c r="L805" s="96"/>
    </row>
    <row r="806">
      <c r="G806" s="95"/>
      <c r="H806" s="95"/>
      <c r="L806" s="96"/>
    </row>
    <row r="807">
      <c r="G807" s="95"/>
      <c r="H807" s="95"/>
      <c r="L807" s="96"/>
    </row>
    <row r="808">
      <c r="G808" s="95"/>
      <c r="H808" s="95"/>
      <c r="L808" s="96"/>
    </row>
    <row r="809">
      <c r="G809" s="95"/>
      <c r="H809" s="95"/>
      <c r="L809" s="96"/>
    </row>
    <row r="810">
      <c r="G810" s="95"/>
      <c r="H810" s="95"/>
      <c r="L810" s="96"/>
    </row>
    <row r="811">
      <c r="G811" s="95"/>
      <c r="H811" s="95"/>
      <c r="L811" s="96"/>
    </row>
    <row r="812">
      <c r="G812" s="95"/>
      <c r="H812" s="95"/>
      <c r="L812" s="96"/>
    </row>
    <row r="813">
      <c r="G813" s="95"/>
      <c r="H813" s="95"/>
      <c r="L813" s="96"/>
    </row>
    <row r="814">
      <c r="G814" s="95"/>
      <c r="H814" s="95"/>
      <c r="L814" s="96"/>
    </row>
    <row r="815">
      <c r="G815" s="95"/>
      <c r="H815" s="95"/>
      <c r="L815" s="96"/>
    </row>
    <row r="816">
      <c r="G816" s="95"/>
      <c r="H816" s="95"/>
      <c r="L816" s="96"/>
    </row>
    <row r="817">
      <c r="G817" s="95"/>
      <c r="H817" s="95"/>
      <c r="L817" s="96"/>
    </row>
    <row r="818">
      <c r="G818" s="95"/>
      <c r="H818" s="95"/>
      <c r="L818" s="96"/>
    </row>
    <row r="819">
      <c r="G819" s="95"/>
      <c r="H819" s="95"/>
      <c r="L819" s="96"/>
    </row>
    <row r="820">
      <c r="G820" s="95"/>
      <c r="H820" s="95"/>
      <c r="L820" s="96"/>
    </row>
    <row r="821">
      <c r="G821" s="95"/>
      <c r="H821" s="95"/>
      <c r="L821" s="96"/>
    </row>
    <row r="822">
      <c r="G822" s="95"/>
      <c r="H822" s="95"/>
      <c r="L822" s="96"/>
    </row>
    <row r="823">
      <c r="G823" s="95"/>
      <c r="H823" s="95"/>
      <c r="L823" s="96"/>
    </row>
    <row r="824">
      <c r="G824" s="95"/>
      <c r="H824" s="95"/>
      <c r="L824" s="96"/>
    </row>
    <row r="825">
      <c r="G825" s="95"/>
      <c r="H825" s="95"/>
      <c r="L825" s="96"/>
    </row>
    <row r="826">
      <c r="G826" s="95"/>
      <c r="H826" s="95"/>
      <c r="L826" s="96"/>
    </row>
    <row r="827">
      <c r="G827" s="95"/>
      <c r="H827" s="95"/>
      <c r="L827" s="96"/>
    </row>
    <row r="828">
      <c r="G828" s="95"/>
      <c r="H828" s="95"/>
      <c r="L828" s="96"/>
    </row>
    <row r="829">
      <c r="G829" s="95"/>
      <c r="H829" s="95"/>
      <c r="L829" s="96"/>
    </row>
    <row r="830">
      <c r="G830" s="95"/>
      <c r="H830" s="95"/>
      <c r="L830" s="96"/>
    </row>
    <row r="831">
      <c r="G831" s="95"/>
      <c r="H831" s="95"/>
      <c r="L831" s="96"/>
    </row>
    <row r="832">
      <c r="G832" s="95"/>
      <c r="H832" s="95"/>
      <c r="L832" s="96"/>
    </row>
    <row r="833">
      <c r="G833" s="95"/>
      <c r="H833" s="95"/>
      <c r="L833" s="96"/>
    </row>
    <row r="834">
      <c r="G834" s="95"/>
      <c r="H834" s="95"/>
      <c r="L834" s="96"/>
    </row>
    <row r="835">
      <c r="G835" s="95"/>
      <c r="H835" s="95"/>
      <c r="L835" s="96"/>
    </row>
    <row r="836">
      <c r="G836" s="95"/>
      <c r="H836" s="95"/>
      <c r="L836" s="96"/>
    </row>
    <row r="837">
      <c r="G837" s="95"/>
      <c r="H837" s="95"/>
      <c r="L837" s="96"/>
    </row>
    <row r="838">
      <c r="G838" s="95"/>
      <c r="H838" s="95"/>
      <c r="L838" s="96"/>
    </row>
    <row r="839">
      <c r="G839" s="95"/>
      <c r="H839" s="95"/>
      <c r="L839" s="96"/>
    </row>
    <row r="840">
      <c r="G840" s="95"/>
      <c r="H840" s="95"/>
      <c r="L840" s="96"/>
    </row>
    <row r="841">
      <c r="G841" s="95"/>
      <c r="H841" s="95"/>
      <c r="L841" s="96"/>
    </row>
    <row r="842">
      <c r="G842" s="95"/>
      <c r="H842" s="95"/>
      <c r="L842" s="96"/>
    </row>
    <row r="843">
      <c r="G843" s="95"/>
      <c r="H843" s="95"/>
      <c r="L843" s="96"/>
    </row>
    <row r="844">
      <c r="G844" s="95"/>
      <c r="H844" s="95"/>
      <c r="L844" s="96"/>
    </row>
    <row r="845">
      <c r="G845" s="95"/>
      <c r="H845" s="95"/>
      <c r="L845" s="96"/>
    </row>
    <row r="846">
      <c r="G846" s="95"/>
      <c r="H846" s="95"/>
      <c r="L846" s="96"/>
    </row>
    <row r="847">
      <c r="G847" s="95"/>
      <c r="H847" s="95"/>
      <c r="L847" s="96"/>
    </row>
    <row r="848">
      <c r="G848" s="95"/>
      <c r="H848" s="95"/>
      <c r="L848" s="96"/>
    </row>
    <row r="849">
      <c r="G849" s="95"/>
      <c r="H849" s="95"/>
      <c r="L849" s="96"/>
    </row>
    <row r="850">
      <c r="G850" s="95"/>
      <c r="H850" s="95"/>
      <c r="L850" s="96"/>
    </row>
    <row r="851">
      <c r="G851" s="95"/>
      <c r="H851" s="95"/>
      <c r="L851" s="96"/>
    </row>
    <row r="852">
      <c r="G852" s="95"/>
      <c r="H852" s="95"/>
      <c r="L852" s="96"/>
    </row>
    <row r="853">
      <c r="G853" s="95"/>
      <c r="H853" s="95"/>
      <c r="L853" s="96"/>
    </row>
    <row r="854">
      <c r="G854" s="95"/>
      <c r="H854" s="95"/>
      <c r="L854" s="96"/>
    </row>
    <row r="855">
      <c r="G855" s="95"/>
      <c r="H855" s="95"/>
      <c r="L855" s="96"/>
    </row>
    <row r="856">
      <c r="G856" s="95"/>
      <c r="H856" s="95"/>
      <c r="L856" s="96"/>
    </row>
    <row r="857">
      <c r="G857" s="95"/>
      <c r="H857" s="95"/>
      <c r="L857" s="96"/>
    </row>
    <row r="858">
      <c r="G858" s="95"/>
      <c r="H858" s="95"/>
      <c r="L858" s="96"/>
    </row>
    <row r="859">
      <c r="G859" s="95"/>
      <c r="H859" s="95"/>
      <c r="L859" s="96"/>
    </row>
    <row r="860">
      <c r="G860" s="95"/>
      <c r="H860" s="95"/>
      <c r="L860" s="96"/>
    </row>
    <row r="861">
      <c r="G861" s="95"/>
      <c r="H861" s="95"/>
      <c r="L861" s="96"/>
    </row>
    <row r="862">
      <c r="G862" s="95"/>
      <c r="H862" s="95"/>
      <c r="L862" s="96"/>
    </row>
    <row r="863">
      <c r="G863" s="95"/>
      <c r="H863" s="95"/>
      <c r="L863" s="96"/>
    </row>
    <row r="864">
      <c r="G864" s="95"/>
      <c r="H864" s="95"/>
      <c r="L864" s="96"/>
    </row>
    <row r="865">
      <c r="G865" s="95"/>
      <c r="H865" s="95"/>
      <c r="L865" s="96"/>
    </row>
    <row r="866">
      <c r="G866" s="95"/>
      <c r="H866" s="95"/>
      <c r="L866" s="96"/>
    </row>
    <row r="867">
      <c r="G867" s="95"/>
      <c r="H867" s="95"/>
      <c r="L867" s="96"/>
    </row>
    <row r="868">
      <c r="G868" s="95"/>
      <c r="H868" s="95"/>
      <c r="L868" s="96"/>
    </row>
    <row r="869">
      <c r="G869" s="95"/>
      <c r="H869" s="95"/>
      <c r="L869" s="96"/>
    </row>
    <row r="870">
      <c r="G870" s="95"/>
      <c r="H870" s="95"/>
      <c r="L870" s="96"/>
    </row>
    <row r="871">
      <c r="G871" s="95"/>
      <c r="H871" s="95"/>
      <c r="L871" s="96"/>
    </row>
    <row r="872">
      <c r="G872" s="95"/>
      <c r="H872" s="95"/>
      <c r="L872" s="96"/>
    </row>
    <row r="873">
      <c r="G873" s="95"/>
      <c r="H873" s="95"/>
      <c r="L873" s="96"/>
    </row>
    <row r="874">
      <c r="G874" s="95"/>
      <c r="H874" s="95"/>
      <c r="L874" s="96"/>
    </row>
    <row r="875">
      <c r="G875" s="95"/>
      <c r="H875" s="95"/>
      <c r="L875" s="96"/>
    </row>
    <row r="876">
      <c r="G876" s="95"/>
      <c r="H876" s="95"/>
      <c r="L876" s="96"/>
    </row>
    <row r="877">
      <c r="G877" s="95"/>
      <c r="H877" s="95"/>
      <c r="L877" s="96"/>
    </row>
    <row r="878">
      <c r="G878" s="95"/>
      <c r="H878" s="95"/>
      <c r="L878" s="96"/>
    </row>
    <row r="879">
      <c r="G879" s="95"/>
      <c r="H879" s="95"/>
      <c r="L879" s="96"/>
    </row>
    <row r="880">
      <c r="G880" s="95"/>
      <c r="H880" s="95"/>
      <c r="L880" s="96"/>
    </row>
    <row r="881">
      <c r="G881" s="95"/>
      <c r="H881" s="95"/>
      <c r="L881" s="96"/>
    </row>
    <row r="882">
      <c r="G882" s="95"/>
      <c r="H882" s="95"/>
      <c r="L882" s="96"/>
    </row>
    <row r="883">
      <c r="G883" s="95"/>
      <c r="H883" s="95"/>
      <c r="L883" s="96"/>
    </row>
    <row r="884">
      <c r="G884" s="95"/>
      <c r="H884" s="95"/>
      <c r="L884" s="96"/>
    </row>
    <row r="885">
      <c r="G885" s="95"/>
      <c r="H885" s="95"/>
      <c r="L885" s="96"/>
    </row>
    <row r="886">
      <c r="G886" s="95"/>
      <c r="H886" s="95"/>
      <c r="L886" s="96"/>
    </row>
    <row r="887">
      <c r="G887" s="95"/>
      <c r="H887" s="95"/>
      <c r="L887" s="96"/>
    </row>
    <row r="888">
      <c r="G888" s="95"/>
      <c r="H888" s="95"/>
      <c r="L888" s="96"/>
    </row>
    <row r="889">
      <c r="G889" s="95"/>
      <c r="H889" s="95"/>
      <c r="L889" s="96"/>
    </row>
    <row r="890">
      <c r="G890" s="95"/>
      <c r="H890" s="95"/>
      <c r="L890" s="96"/>
    </row>
    <row r="891">
      <c r="G891" s="95"/>
      <c r="H891" s="95"/>
      <c r="L891" s="96"/>
    </row>
    <row r="892">
      <c r="G892" s="95"/>
      <c r="H892" s="95"/>
      <c r="L892" s="96"/>
    </row>
    <row r="893">
      <c r="G893" s="95"/>
      <c r="H893" s="95"/>
      <c r="L893" s="96"/>
    </row>
    <row r="894">
      <c r="G894" s="95"/>
      <c r="H894" s="95"/>
      <c r="L894" s="96"/>
    </row>
    <row r="895">
      <c r="G895" s="95"/>
      <c r="H895" s="95"/>
      <c r="L895" s="96"/>
    </row>
    <row r="896">
      <c r="G896" s="95"/>
      <c r="H896" s="95"/>
      <c r="L896" s="96"/>
    </row>
    <row r="897">
      <c r="G897" s="95"/>
      <c r="H897" s="95"/>
      <c r="L897" s="96"/>
    </row>
    <row r="898">
      <c r="G898" s="95"/>
      <c r="H898" s="95"/>
      <c r="L898" s="96"/>
    </row>
    <row r="899">
      <c r="G899" s="95"/>
      <c r="H899" s="95"/>
      <c r="L899" s="96"/>
    </row>
    <row r="900">
      <c r="G900" s="95"/>
      <c r="H900" s="95"/>
      <c r="L900" s="96"/>
    </row>
    <row r="901">
      <c r="G901" s="95"/>
      <c r="H901" s="95"/>
      <c r="L901" s="96"/>
    </row>
    <row r="902">
      <c r="G902" s="95"/>
      <c r="H902" s="95"/>
      <c r="L902" s="96"/>
    </row>
    <row r="903">
      <c r="G903" s="95"/>
      <c r="H903" s="95"/>
      <c r="L903" s="96"/>
    </row>
    <row r="904">
      <c r="G904" s="95"/>
      <c r="H904" s="95"/>
      <c r="L904" s="96"/>
    </row>
    <row r="905">
      <c r="G905" s="95"/>
      <c r="H905" s="95"/>
      <c r="L905" s="96"/>
    </row>
    <row r="906">
      <c r="G906" s="95"/>
      <c r="H906" s="95"/>
      <c r="L906" s="96"/>
    </row>
    <row r="907">
      <c r="G907" s="95"/>
      <c r="H907" s="95"/>
      <c r="L907" s="96"/>
    </row>
    <row r="908">
      <c r="G908" s="95"/>
      <c r="H908" s="95"/>
      <c r="L908" s="96"/>
    </row>
    <row r="909">
      <c r="G909" s="95"/>
      <c r="H909" s="95"/>
      <c r="L909" s="96"/>
    </row>
    <row r="910">
      <c r="G910" s="95"/>
      <c r="H910" s="95"/>
      <c r="L910" s="96"/>
    </row>
    <row r="911">
      <c r="G911" s="95"/>
      <c r="H911" s="95"/>
      <c r="L911" s="96"/>
    </row>
    <row r="912">
      <c r="G912" s="95"/>
      <c r="H912" s="95"/>
      <c r="L912" s="96"/>
    </row>
    <row r="913">
      <c r="G913" s="95"/>
      <c r="H913" s="95"/>
      <c r="L913" s="96"/>
    </row>
    <row r="914">
      <c r="G914" s="95"/>
      <c r="H914" s="95"/>
      <c r="L914" s="96"/>
    </row>
    <row r="915">
      <c r="G915" s="95"/>
      <c r="H915" s="95"/>
      <c r="L915" s="96"/>
    </row>
    <row r="916">
      <c r="G916" s="95"/>
      <c r="H916" s="95"/>
      <c r="L916" s="96"/>
    </row>
    <row r="917">
      <c r="G917" s="95"/>
      <c r="H917" s="95"/>
      <c r="L917" s="96"/>
    </row>
    <row r="918">
      <c r="G918" s="95"/>
      <c r="H918" s="95"/>
      <c r="L918" s="96"/>
    </row>
    <row r="919">
      <c r="G919" s="95"/>
      <c r="H919" s="95"/>
      <c r="L919" s="96"/>
    </row>
    <row r="920">
      <c r="G920" s="95"/>
      <c r="H920" s="95"/>
      <c r="L920" s="96"/>
    </row>
    <row r="921">
      <c r="G921" s="95"/>
      <c r="H921" s="95"/>
      <c r="L921" s="96"/>
    </row>
    <row r="922">
      <c r="G922" s="95"/>
      <c r="H922" s="95"/>
      <c r="L922" s="96"/>
    </row>
    <row r="923">
      <c r="G923" s="95"/>
      <c r="H923" s="95"/>
      <c r="L923" s="96"/>
    </row>
    <row r="924">
      <c r="G924" s="95"/>
      <c r="H924" s="95"/>
      <c r="L924" s="96"/>
    </row>
    <row r="925">
      <c r="G925" s="95"/>
      <c r="H925" s="95"/>
      <c r="L925" s="96"/>
    </row>
    <row r="926">
      <c r="G926" s="95"/>
      <c r="H926" s="95"/>
      <c r="L926" s="96"/>
    </row>
    <row r="927">
      <c r="G927" s="95"/>
      <c r="H927" s="95"/>
      <c r="L927" s="96"/>
    </row>
    <row r="928">
      <c r="G928" s="95"/>
      <c r="H928" s="95"/>
      <c r="L928" s="96"/>
    </row>
    <row r="929">
      <c r="G929" s="95"/>
      <c r="H929" s="95"/>
      <c r="L929" s="96"/>
    </row>
    <row r="930">
      <c r="G930" s="95"/>
      <c r="H930" s="95"/>
      <c r="L930" s="96"/>
    </row>
    <row r="931">
      <c r="G931" s="95"/>
      <c r="H931" s="95"/>
      <c r="L931" s="96"/>
    </row>
    <row r="932">
      <c r="G932" s="95"/>
      <c r="H932" s="95"/>
      <c r="L932" s="96"/>
    </row>
    <row r="933">
      <c r="G933" s="95"/>
      <c r="H933" s="95"/>
      <c r="L933" s="96"/>
    </row>
    <row r="934">
      <c r="G934" s="95"/>
      <c r="H934" s="95"/>
      <c r="L934" s="96"/>
    </row>
    <row r="935">
      <c r="G935" s="95"/>
      <c r="H935" s="95"/>
      <c r="L935" s="96"/>
    </row>
    <row r="936">
      <c r="G936" s="95"/>
      <c r="H936" s="95"/>
      <c r="L936" s="96"/>
    </row>
    <row r="937">
      <c r="G937" s="95"/>
      <c r="H937" s="95"/>
      <c r="L937" s="96"/>
    </row>
    <row r="938">
      <c r="G938" s="95"/>
      <c r="H938" s="95"/>
      <c r="L938" s="96"/>
    </row>
    <row r="939">
      <c r="G939" s="95"/>
      <c r="H939" s="95"/>
      <c r="L939" s="96"/>
    </row>
    <row r="940">
      <c r="G940" s="95"/>
      <c r="H940" s="95"/>
      <c r="L940" s="96"/>
    </row>
    <row r="941">
      <c r="G941" s="95"/>
      <c r="H941" s="95"/>
      <c r="L941" s="96"/>
    </row>
    <row r="942">
      <c r="G942" s="95"/>
      <c r="H942" s="95"/>
      <c r="L942" s="96"/>
    </row>
    <row r="943">
      <c r="G943" s="95"/>
      <c r="H943" s="95"/>
      <c r="L943" s="96"/>
    </row>
    <row r="944">
      <c r="G944" s="95"/>
      <c r="H944" s="95"/>
      <c r="L944" s="96"/>
    </row>
    <row r="945">
      <c r="G945" s="95"/>
      <c r="H945" s="95"/>
      <c r="L945" s="96"/>
    </row>
    <row r="946">
      <c r="G946" s="95"/>
      <c r="H946" s="95"/>
      <c r="L946" s="96"/>
    </row>
    <row r="947">
      <c r="G947" s="95"/>
      <c r="H947" s="95"/>
      <c r="L947" s="96"/>
    </row>
    <row r="948">
      <c r="G948" s="95"/>
      <c r="H948" s="95"/>
      <c r="L948" s="96"/>
    </row>
    <row r="949">
      <c r="G949" s="95"/>
      <c r="H949" s="95"/>
      <c r="L949" s="96"/>
    </row>
    <row r="950">
      <c r="G950" s="95"/>
      <c r="H950" s="95"/>
      <c r="L950" s="96"/>
    </row>
    <row r="951">
      <c r="G951" s="95"/>
      <c r="H951" s="95"/>
      <c r="L951" s="96"/>
    </row>
    <row r="952">
      <c r="G952" s="95"/>
      <c r="H952" s="95"/>
      <c r="L952" s="96"/>
    </row>
    <row r="953">
      <c r="G953" s="95"/>
      <c r="H953" s="95"/>
      <c r="L953" s="96"/>
    </row>
    <row r="954">
      <c r="G954" s="95"/>
      <c r="H954" s="95"/>
      <c r="L954" s="96"/>
    </row>
    <row r="955">
      <c r="G955" s="95"/>
      <c r="H955" s="95"/>
      <c r="L955" s="96"/>
    </row>
    <row r="956">
      <c r="G956" s="95"/>
      <c r="H956" s="95"/>
      <c r="L956" s="96"/>
    </row>
    <row r="957">
      <c r="G957" s="95"/>
      <c r="H957" s="95"/>
      <c r="L957" s="96"/>
    </row>
    <row r="958">
      <c r="G958" s="95"/>
      <c r="H958" s="95"/>
      <c r="L958" s="96"/>
    </row>
    <row r="959">
      <c r="G959" s="95"/>
      <c r="H959" s="95"/>
      <c r="L959" s="96"/>
    </row>
    <row r="960">
      <c r="G960" s="95"/>
      <c r="H960" s="95"/>
      <c r="L960" s="96"/>
    </row>
    <row r="961">
      <c r="G961" s="95"/>
      <c r="H961" s="95"/>
      <c r="L961" s="96"/>
    </row>
    <row r="962">
      <c r="G962" s="95"/>
      <c r="H962" s="95"/>
      <c r="L962" s="96"/>
    </row>
    <row r="963">
      <c r="G963" s="95"/>
      <c r="H963" s="95"/>
      <c r="L963" s="96"/>
    </row>
    <row r="964">
      <c r="G964" s="95"/>
      <c r="H964" s="95"/>
      <c r="L964" s="96"/>
    </row>
    <row r="965">
      <c r="G965" s="95"/>
      <c r="H965" s="95"/>
      <c r="L965" s="96"/>
    </row>
    <row r="966">
      <c r="G966" s="95"/>
      <c r="H966" s="95"/>
      <c r="L966" s="96"/>
    </row>
    <row r="967">
      <c r="G967" s="95"/>
      <c r="H967" s="95"/>
      <c r="L967" s="96"/>
    </row>
    <row r="968">
      <c r="G968" s="95"/>
      <c r="H968" s="95"/>
      <c r="L968" s="96"/>
    </row>
    <row r="969">
      <c r="G969" s="95"/>
      <c r="H969" s="95"/>
      <c r="L969" s="96"/>
    </row>
    <row r="970">
      <c r="G970" s="95"/>
      <c r="H970" s="95"/>
      <c r="L970" s="96"/>
    </row>
    <row r="971">
      <c r="G971" s="95"/>
      <c r="H971" s="95"/>
      <c r="L971" s="96"/>
    </row>
    <row r="972">
      <c r="G972" s="95"/>
      <c r="H972" s="95"/>
      <c r="L972" s="96"/>
    </row>
    <row r="973">
      <c r="G973" s="95"/>
      <c r="H973" s="95"/>
      <c r="L973" s="96"/>
    </row>
    <row r="974">
      <c r="G974" s="95"/>
      <c r="H974" s="95"/>
      <c r="L974" s="96"/>
    </row>
    <row r="975">
      <c r="G975" s="95"/>
      <c r="H975" s="95"/>
      <c r="L975" s="96"/>
    </row>
    <row r="976">
      <c r="G976" s="95"/>
      <c r="H976" s="95"/>
      <c r="L976" s="96"/>
    </row>
    <row r="977">
      <c r="G977" s="95"/>
      <c r="H977" s="95"/>
      <c r="L977" s="96"/>
    </row>
    <row r="978">
      <c r="G978" s="95"/>
      <c r="H978" s="95"/>
      <c r="L978" s="96"/>
    </row>
    <row r="979">
      <c r="G979" s="95"/>
      <c r="H979" s="95"/>
      <c r="L979" s="96"/>
    </row>
  </sheetData>
  <customSheetViews>
    <customSheetView guid="{230557B4-23C6-47D9-9D80-8A56470363B9}" filter="1" showAutoFilter="1">
      <autoFilter ref="$A$9:$AC$29"/>
    </customSheetView>
  </customSheetViews>
  <mergeCells count="22">
    <mergeCell ref="A2:C2"/>
    <mergeCell ref="A3:B3"/>
    <mergeCell ref="A4:B4"/>
    <mergeCell ref="A5:B5"/>
    <mergeCell ref="A6:B6"/>
    <mergeCell ref="A7:B7"/>
    <mergeCell ref="A8:B8"/>
    <mergeCell ref="N67:N70"/>
    <mergeCell ref="N71:N74"/>
    <mergeCell ref="M75:M94"/>
    <mergeCell ref="N75:N78"/>
    <mergeCell ref="N79:N82"/>
    <mergeCell ref="N83:N86"/>
    <mergeCell ref="N87:N90"/>
    <mergeCell ref="N91:N94"/>
    <mergeCell ref="M53:M54"/>
    <mergeCell ref="N53:N54"/>
    <mergeCell ref="P53:T53"/>
    <mergeCell ref="M55:M74"/>
    <mergeCell ref="N55:N58"/>
    <mergeCell ref="N59:N62"/>
    <mergeCell ref="N63:N6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3" max="3" width="29.0"/>
    <col customWidth="1" min="4" max="4" width="14.14"/>
    <col customWidth="1" min="5" max="9" width="11.14"/>
    <col customWidth="1" min="10" max="13" width="8.71"/>
    <col customWidth="1" min="14" max="14" width="85.14"/>
  </cols>
  <sheetData>
    <row r="1">
      <c r="A1" s="1" t="s">
        <v>0</v>
      </c>
      <c r="B1" s="2">
        <v>2003.0</v>
      </c>
      <c r="D1" s="3"/>
      <c r="E1" s="3"/>
      <c r="H1" s="4"/>
      <c r="I1" s="4"/>
      <c r="J1" s="4"/>
      <c r="K1" s="4"/>
      <c r="L1" s="5"/>
    </row>
    <row r="2">
      <c r="A2" s="6" t="s">
        <v>1</v>
      </c>
      <c r="B2" s="7"/>
      <c r="C2" s="8"/>
      <c r="D2" s="9"/>
      <c r="E2" s="9"/>
      <c r="H2" s="4"/>
      <c r="I2" s="4"/>
      <c r="J2" s="4"/>
      <c r="K2" s="4"/>
      <c r="L2" s="5"/>
    </row>
    <row r="3">
      <c r="A3" s="10" t="s">
        <v>2</v>
      </c>
      <c r="B3" s="8"/>
      <c r="C3" s="11" t="s">
        <v>56</v>
      </c>
      <c r="D3" s="9"/>
      <c r="E3" s="9"/>
      <c r="H3" s="4"/>
      <c r="I3" s="4"/>
      <c r="J3" s="4"/>
      <c r="K3" s="4"/>
      <c r="L3" s="5"/>
    </row>
    <row r="4">
      <c r="A4" s="10" t="s">
        <v>4</v>
      </c>
      <c r="B4" s="8"/>
      <c r="C4" s="12">
        <v>1.0E-5</v>
      </c>
      <c r="D4" s="9"/>
      <c r="E4" s="9"/>
      <c r="H4" s="4"/>
      <c r="I4" s="4"/>
      <c r="J4" s="4"/>
      <c r="K4" s="4"/>
      <c r="L4" s="5"/>
    </row>
    <row r="5">
      <c r="A5" s="10" t="s">
        <v>5</v>
      </c>
      <c r="B5" s="8"/>
      <c r="C5" s="11" t="s">
        <v>25</v>
      </c>
      <c r="D5" s="9"/>
      <c r="E5" s="9"/>
      <c r="H5" s="4"/>
      <c r="I5" s="4"/>
      <c r="J5" s="4"/>
      <c r="K5" s="4"/>
      <c r="L5" s="5"/>
    </row>
    <row r="6">
      <c r="A6" s="10" t="s">
        <v>7</v>
      </c>
      <c r="B6" s="8"/>
      <c r="C6" s="11" t="s">
        <v>21</v>
      </c>
      <c r="D6" s="9"/>
      <c r="E6" s="9"/>
      <c r="H6" s="4"/>
      <c r="I6" s="4"/>
      <c r="J6" s="4"/>
      <c r="K6" s="4"/>
      <c r="L6" s="5"/>
    </row>
    <row r="7">
      <c r="A7" s="10" t="s">
        <v>9</v>
      </c>
      <c r="B7" s="8"/>
      <c r="C7" s="11" t="s">
        <v>10</v>
      </c>
      <c r="D7" s="13"/>
      <c r="E7" s="13"/>
      <c r="H7" s="4"/>
      <c r="I7" s="4"/>
      <c r="J7" s="4"/>
      <c r="K7" s="4"/>
      <c r="L7" s="5"/>
    </row>
    <row r="8">
      <c r="H8" s="4"/>
      <c r="I8" s="4"/>
      <c r="J8" s="4"/>
      <c r="K8" s="4"/>
      <c r="L8" s="5"/>
    </row>
    <row r="9">
      <c r="H9" s="4"/>
      <c r="I9" s="4"/>
      <c r="J9" s="4"/>
      <c r="K9" s="4"/>
      <c r="L9" s="5"/>
    </row>
    <row r="10">
      <c r="A10" s="15"/>
      <c r="B10" s="16" t="s">
        <v>12</v>
      </c>
      <c r="C10" s="16" t="s">
        <v>13</v>
      </c>
      <c r="D10" s="16" t="s">
        <v>14</v>
      </c>
      <c r="E10" s="17" t="s">
        <v>15</v>
      </c>
      <c r="F10" s="18"/>
      <c r="G10" s="18"/>
      <c r="H10" s="18"/>
      <c r="I10" s="19"/>
      <c r="M10" s="3"/>
      <c r="N10" s="3"/>
    </row>
    <row r="11">
      <c r="B11" s="20"/>
      <c r="C11" s="20"/>
      <c r="D11" s="21"/>
      <c r="E11" s="22">
        <v>64.0</v>
      </c>
      <c r="F11" s="22">
        <v>256.0</v>
      </c>
      <c r="G11" s="22">
        <v>512.0</v>
      </c>
      <c r="H11" s="22">
        <v>1024.0</v>
      </c>
      <c r="I11" s="22">
        <v>1500.0</v>
      </c>
      <c r="M11" s="9"/>
      <c r="N11" s="9"/>
    </row>
    <row r="12">
      <c r="B12" s="23" t="s">
        <v>16</v>
      </c>
      <c r="C12" s="70" t="s">
        <v>17</v>
      </c>
      <c r="D12" s="25" t="s">
        <v>18</v>
      </c>
      <c r="E12" s="26">
        <v>6.6</v>
      </c>
      <c r="F12" s="26">
        <v>21.0</v>
      </c>
      <c r="G12" s="26">
        <v>36.4</v>
      </c>
      <c r="H12" s="26">
        <v>38.0</v>
      </c>
      <c r="I12" s="27">
        <v>38.4</v>
      </c>
      <c r="M12" s="9"/>
      <c r="N12" s="9"/>
    </row>
    <row r="13">
      <c r="B13" s="28"/>
      <c r="C13" s="71" t="s">
        <v>23</v>
      </c>
      <c r="D13" s="30" t="s">
        <v>18</v>
      </c>
      <c r="E13" s="35">
        <f t="shared" ref="E13:I13" si="1">E12/4</f>
        <v>1.65</v>
      </c>
      <c r="F13" s="35">
        <f t="shared" si="1"/>
        <v>5.25</v>
      </c>
      <c r="G13" s="35">
        <f t="shared" si="1"/>
        <v>9.1</v>
      </c>
      <c r="H13" s="35">
        <f t="shared" si="1"/>
        <v>9.5</v>
      </c>
      <c r="I13" s="39">
        <f t="shared" si="1"/>
        <v>9.6</v>
      </c>
      <c r="M13" s="9"/>
      <c r="N13" s="9"/>
    </row>
    <row r="14">
      <c r="B14" s="28"/>
      <c r="C14" s="71" t="s">
        <v>26</v>
      </c>
      <c r="D14" s="30" t="s">
        <v>18</v>
      </c>
      <c r="E14" s="37">
        <f>4.925*2</f>
        <v>9.85</v>
      </c>
      <c r="F14" s="36">
        <f>4.746*2</f>
        <v>9.492</v>
      </c>
      <c r="G14" s="37">
        <f>4.284*2</f>
        <v>8.568</v>
      </c>
      <c r="H14" s="36">
        <f>2.271*2</f>
        <v>4.542</v>
      </c>
      <c r="I14" s="38">
        <f>1.58*2</f>
        <v>3.16</v>
      </c>
      <c r="M14" s="13"/>
      <c r="N14" s="13"/>
    </row>
    <row r="15">
      <c r="B15" s="28"/>
      <c r="C15" s="71" t="s">
        <v>27</v>
      </c>
      <c r="D15" s="30" t="s">
        <v>18</v>
      </c>
      <c r="E15" s="35">
        <f t="shared" ref="E15:I15" si="2">E14/4</f>
        <v>2.4625</v>
      </c>
      <c r="F15" s="35">
        <f t="shared" si="2"/>
        <v>2.373</v>
      </c>
      <c r="G15" s="35">
        <f t="shared" si="2"/>
        <v>2.142</v>
      </c>
      <c r="H15" s="35">
        <f t="shared" si="2"/>
        <v>1.1355</v>
      </c>
      <c r="I15" s="39">
        <f t="shared" si="2"/>
        <v>0.79</v>
      </c>
      <c r="M15" s="13"/>
      <c r="N15" s="13"/>
    </row>
    <row r="16">
      <c r="B16" s="42"/>
      <c r="C16" s="76" t="s">
        <v>28</v>
      </c>
      <c r="D16" s="30" t="s">
        <v>18</v>
      </c>
      <c r="E16" s="40">
        <v>674.0</v>
      </c>
      <c r="F16" s="40">
        <v>459.0</v>
      </c>
      <c r="G16" s="40">
        <v>271.0</v>
      </c>
      <c r="H16" s="40">
        <v>164.0</v>
      </c>
      <c r="I16" s="41">
        <v>200.0</v>
      </c>
      <c r="M16" s="13"/>
      <c r="N16" s="13"/>
    </row>
    <row r="17">
      <c r="E17" s="4"/>
      <c r="F17" s="4"/>
      <c r="G17" s="4"/>
      <c r="H17" s="4"/>
      <c r="I17" s="5"/>
    </row>
    <row r="18">
      <c r="B18" s="16" t="s">
        <v>12</v>
      </c>
      <c r="C18" s="16" t="s">
        <v>13</v>
      </c>
      <c r="D18" s="16" t="s">
        <v>14</v>
      </c>
      <c r="E18" s="17" t="s">
        <v>15</v>
      </c>
      <c r="F18" s="18"/>
      <c r="G18" s="18"/>
      <c r="H18" s="18"/>
      <c r="I18" s="19"/>
      <c r="M18" s="3"/>
      <c r="N18" s="3"/>
    </row>
    <row r="19">
      <c r="B19" s="20"/>
      <c r="C19" s="20"/>
      <c r="D19" s="21"/>
      <c r="E19" s="22">
        <v>64.0</v>
      </c>
      <c r="F19" s="22">
        <v>256.0</v>
      </c>
      <c r="G19" s="22">
        <v>512.0</v>
      </c>
      <c r="H19" s="22">
        <v>1024.0</v>
      </c>
      <c r="I19" s="22">
        <v>1500.0</v>
      </c>
      <c r="M19" s="9"/>
      <c r="N19" s="9"/>
    </row>
    <row r="20">
      <c r="B20" s="23" t="s">
        <v>29</v>
      </c>
      <c r="C20" s="70" t="s">
        <v>17</v>
      </c>
      <c r="D20" s="25" t="s">
        <v>18</v>
      </c>
      <c r="E20" s="26">
        <v>4.4</v>
      </c>
      <c r="F20" s="26">
        <v>14.0</v>
      </c>
      <c r="G20" s="26">
        <v>25.4</v>
      </c>
      <c r="H20" s="26">
        <v>37.8</v>
      </c>
      <c r="I20" s="27">
        <v>38.4</v>
      </c>
      <c r="M20" s="9"/>
      <c r="N20" s="9"/>
    </row>
    <row r="21">
      <c r="B21" s="28"/>
      <c r="C21" s="71" t="s">
        <v>23</v>
      </c>
      <c r="D21" s="30" t="s">
        <v>18</v>
      </c>
      <c r="E21" s="35">
        <f t="shared" ref="E21:I21" si="3">E20/4</f>
        <v>1.1</v>
      </c>
      <c r="F21" s="35">
        <f t="shared" si="3"/>
        <v>3.5</v>
      </c>
      <c r="G21" s="35">
        <f t="shared" si="3"/>
        <v>6.35</v>
      </c>
      <c r="H21" s="35">
        <f t="shared" si="3"/>
        <v>9.45</v>
      </c>
      <c r="I21" s="39">
        <f t="shared" si="3"/>
        <v>9.6</v>
      </c>
      <c r="M21" s="9"/>
      <c r="N21" s="9"/>
    </row>
    <row r="22">
      <c r="B22" s="28"/>
      <c r="C22" s="71" t="s">
        <v>26</v>
      </c>
      <c r="D22" s="30" t="s">
        <v>18</v>
      </c>
      <c r="E22" s="37">
        <f>3.299*2</f>
        <v>6.598</v>
      </c>
      <c r="F22" s="36">
        <f>3.189*2</f>
        <v>6.378</v>
      </c>
      <c r="G22" s="37">
        <f>2.983*2</f>
        <v>5.966</v>
      </c>
      <c r="H22" s="36">
        <f>2.264*2</f>
        <v>4.528</v>
      </c>
      <c r="I22" s="38">
        <f>1.575*2</f>
        <v>3.15</v>
      </c>
      <c r="M22" s="13"/>
      <c r="N22" s="13"/>
    </row>
    <row r="23">
      <c r="B23" s="28"/>
      <c r="C23" s="71" t="s">
        <v>27</v>
      </c>
      <c r="D23" s="30" t="s">
        <v>18</v>
      </c>
      <c r="E23" s="35">
        <f t="shared" ref="E23:I23" si="4">E22/4</f>
        <v>1.6495</v>
      </c>
      <c r="F23" s="35">
        <f t="shared" si="4"/>
        <v>1.5945</v>
      </c>
      <c r="G23" s="35">
        <f t="shared" si="4"/>
        <v>1.4915</v>
      </c>
      <c r="H23" s="35">
        <f t="shared" si="4"/>
        <v>1.132</v>
      </c>
      <c r="I23" s="39">
        <f t="shared" si="4"/>
        <v>0.7875</v>
      </c>
      <c r="M23" s="13"/>
      <c r="N23" s="13"/>
    </row>
    <row r="24">
      <c r="B24" s="42"/>
      <c r="C24" s="76" t="s">
        <v>28</v>
      </c>
      <c r="D24" s="30" t="s">
        <v>18</v>
      </c>
      <c r="E24" s="40">
        <v>303.0</v>
      </c>
      <c r="F24" s="40">
        <v>262.0</v>
      </c>
      <c r="G24" s="40">
        <v>223.0</v>
      </c>
      <c r="H24" s="40">
        <v>200.0</v>
      </c>
      <c r="I24" s="41">
        <v>160.0</v>
      </c>
      <c r="M24" s="13"/>
      <c r="N24" s="13"/>
    </row>
    <row r="42">
      <c r="H42" s="4"/>
      <c r="I42" s="4"/>
      <c r="J42" s="4"/>
      <c r="K42" s="4"/>
      <c r="L42" s="5"/>
    </row>
    <row r="43">
      <c r="H43" s="4"/>
      <c r="I43" s="4"/>
      <c r="J43" s="4"/>
      <c r="K43" s="4"/>
      <c r="L43" s="5"/>
    </row>
    <row r="44">
      <c r="H44" s="4"/>
      <c r="I44" s="4"/>
      <c r="J44" s="4"/>
      <c r="K44" s="4"/>
      <c r="L44" s="5"/>
    </row>
    <row r="45">
      <c r="H45" s="4"/>
      <c r="I45" s="4"/>
      <c r="J45" s="4"/>
      <c r="K45" s="4"/>
      <c r="L45" s="5"/>
    </row>
    <row r="46">
      <c r="H46" s="4"/>
      <c r="I46" s="4"/>
      <c r="J46" s="4"/>
      <c r="K46" s="4"/>
      <c r="L46" s="5"/>
    </row>
    <row r="47">
      <c r="H47" s="4"/>
      <c r="I47" s="4"/>
      <c r="J47" s="4"/>
      <c r="K47" s="4"/>
      <c r="L47" s="5"/>
    </row>
    <row r="48">
      <c r="H48" s="4"/>
      <c r="I48" s="4"/>
      <c r="J48" s="4"/>
      <c r="K48" s="4"/>
      <c r="L48" s="5"/>
    </row>
    <row r="49">
      <c r="H49" s="4"/>
      <c r="I49" s="4"/>
      <c r="J49" s="4"/>
      <c r="K49" s="4"/>
      <c r="L49" s="5"/>
    </row>
    <row r="50">
      <c r="H50" s="4"/>
      <c r="I50" s="4"/>
      <c r="J50" s="4"/>
      <c r="K50" s="4"/>
      <c r="L50" s="5"/>
    </row>
    <row r="51">
      <c r="H51" s="4"/>
      <c r="I51" s="4"/>
      <c r="J51" s="4"/>
      <c r="K51" s="4"/>
      <c r="L51" s="5"/>
    </row>
    <row r="52">
      <c r="H52" s="4"/>
      <c r="I52" s="4"/>
      <c r="J52" s="4"/>
      <c r="K52" s="4"/>
      <c r="L52" s="5"/>
    </row>
    <row r="53">
      <c r="H53" s="4"/>
      <c r="I53" s="4"/>
      <c r="J53" s="4"/>
      <c r="K53" s="4"/>
      <c r="L53" s="5"/>
    </row>
    <row r="54">
      <c r="H54" s="4"/>
      <c r="I54" s="4"/>
      <c r="J54" s="4"/>
      <c r="K54" s="4"/>
      <c r="L54" s="5"/>
    </row>
    <row r="55">
      <c r="H55" s="4"/>
      <c r="I55" s="4"/>
      <c r="J55" s="4"/>
      <c r="K55" s="4"/>
      <c r="L55" s="5"/>
    </row>
    <row r="56">
      <c r="H56" s="4"/>
      <c r="I56" s="4"/>
      <c r="J56" s="4"/>
      <c r="K56" s="4"/>
      <c r="L56" s="5"/>
    </row>
    <row r="57">
      <c r="H57" s="4"/>
      <c r="I57" s="4"/>
      <c r="J57" s="4"/>
      <c r="K57" s="4"/>
      <c r="L57" s="5"/>
    </row>
    <row r="58">
      <c r="H58" s="4"/>
      <c r="I58" s="4"/>
      <c r="J58" s="4"/>
      <c r="K58" s="4"/>
      <c r="L58" s="5"/>
    </row>
    <row r="59">
      <c r="H59" s="4"/>
      <c r="I59" s="4"/>
      <c r="J59" s="4"/>
      <c r="K59" s="4"/>
      <c r="L59" s="5"/>
    </row>
    <row r="60">
      <c r="H60" s="4"/>
      <c r="I60" s="4"/>
      <c r="J60" s="4"/>
      <c r="K60" s="4"/>
      <c r="L60" s="5"/>
    </row>
    <row r="61">
      <c r="H61" s="4"/>
      <c r="I61" s="4"/>
      <c r="J61" s="4"/>
      <c r="K61" s="4"/>
      <c r="L61" s="5"/>
    </row>
    <row r="62">
      <c r="H62" s="4"/>
      <c r="I62" s="4"/>
      <c r="J62" s="4"/>
      <c r="K62" s="4"/>
      <c r="L62" s="5"/>
    </row>
    <row r="63">
      <c r="H63" s="4"/>
      <c r="I63" s="4"/>
      <c r="J63" s="4"/>
      <c r="K63" s="4"/>
      <c r="L63" s="5"/>
    </row>
    <row r="64">
      <c r="H64" s="4"/>
      <c r="I64" s="4"/>
      <c r="J64" s="4"/>
      <c r="K64" s="4"/>
      <c r="L64" s="5"/>
    </row>
    <row r="65">
      <c r="H65" s="4"/>
      <c r="I65" s="4"/>
      <c r="J65" s="4"/>
      <c r="K65" s="4"/>
      <c r="L65" s="5"/>
    </row>
    <row r="66">
      <c r="H66" s="4"/>
      <c r="I66" s="4"/>
      <c r="J66" s="4"/>
      <c r="K66" s="4"/>
      <c r="L66" s="5"/>
    </row>
    <row r="67">
      <c r="H67" s="4"/>
      <c r="I67" s="4"/>
      <c r="J67" s="4"/>
      <c r="K67" s="4"/>
      <c r="L67" s="5"/>
    </row>
    <row r="68">
      <c r="H68" s="4"/>
      <c r="I68" s="4"/>
      <c r="J68" s="4"/>
      <c r="K68" s="4"/>
      <c r="L68" s="5"/>
    </row>
    <row r="69">
      <c r="H69" s="4"/>
      <c r="I69" s="4"/>
      <c r="J69" s="4"/>
      <c r="K69" s="4"/>
      <c r="L69" s="5"/>
    </row>
    <row r="70">
      <c r="H70" s="4"/>
      <c r="I70" s="4"/>
      <c r="J70" s="4"/>
      <c r="K70" s="4"/>
      <c r="L70" s="5"/>
    </row>
    <row r="71">
      <c r="H71" s="4"/>
      <c r="I71" s="4"/>
      <c r="J71" s="4"/>
      <c r="K71" s="4"/>
      <c r="L71" s="5"/>
    </row>
    <row r="72">
      <c r="H72" s="4"/>
      <c r="I72" s="4"/>
      <c r="J72" s="4"/>
      <c r="K72" s="4"/>
      <c r="L72" s="5"/>
    </row>
    <row r="73">
      <c r="H73" s="4"/>
      <c r="I73" s="4"/>
      <c r="J73" s="4"/>
      <c r="K73" s="4"/>
      <c r="L73" s="5"/>
    </row>
    <row r="74">
      <c r="H74" s="4"/>
      <c r="I74" s="4"/>
      <c r="J74" s="4"/>
      <c r="K74" s="4"/>
      <c r="L74" s="5"/>
    </row>
    <row r="75">
      <c r="H75" s="4"/>
      <c r="I75" s="4"/>
      <c r="J75" s="4"/>
      <c r="K75" s="4"/>
      <c r="L75" s="5"/>
    </row>
    <row r="76">
      <c r="H76" s="4"/>
      <c r="I76" s="4"/>
      <c r="J76" s="4"/>
      <c r="K76" s="4"/>
      <c r="L76" s="5"/>
    </row>
    <row r="77">
      <c r="H77" s="4"/>
      <c r="I77" s="4"/>
      <c r="J77" s="4"/>
      <c r="K77" s="4"/>
      <c r="L77" s="5"/>
    </row>
    <row r="78">
      <c r="H78" s="4"/>
      <c r="I78" s="4"/>
      <c r="J78" s="4"/>
      <c r="K78" s="4"/>
      <c r="L78" s="5"/>
    </row>
    <row r="79">
      <c r="H79" s="4"/>
      <c r="I79" s="4"/>
      <c r="J79" s="4"/>
      <c r="K79" s="4"/>
      <c r="L79" s="5"/>
    </row>
    <row r="80">
      <c r="H80" s="4"/>
      <c r="I80" s="4"/>
      <c r="J80" s="4"/>
      <c r="K80" s="4"/>
      <c r="L80" s="5"/>
    </row>
    <row r="81">
      <c r="H81" s="4"/>
      <c r="I81" s="4"/>
      <c r="J81" s="4"/>
      <c r="K81" s="4"/>
      <c r="L81" s="5"/>
    </row>
    <row r="82">
      <c r="H82" s="4"/>
      <c r="I82" s="4"/>
      <c r="J82" s="4"/>
      <c r="K82" s="4"/>
      <c r="L82" s="5"/>
    </row>
    <row r="83">
      <c r="H83" s="4"/>
      <c r="I83" s="4"/>
      <c r="J83" s="4"/>
      <c r="K83" s="4"/>
      <c r="L83" s="5"/>
    </row>
    <row r="84">
      <c r="H84" s="4"/>
      <c r="I84" s="4"/>
      <c r="J84" s="4"/>
      <c r="K84" s="4"/>
      <c r="L84" s="5"/>
    </row>
    <row r="85">
      <c r="H85" s="4"/>
      <c r="I85" s="4"/>
      <c r="J85" s="4"/>
      <c r="K85" s="4"/>
      <c r="L85" s="5"/>
    </row>
    <row r="86">
      <c r="H86" s="4"/>
      <c r="I86" s="4"/>
      <c r="J86" s="4"/>
      <c r="K86" s="4"/>
      <c r="L86" s="5"/>
    </row>
    <row r="87">
      <c r="H87" s="4"/>
      <c r="I87" s="4"/>
      <c r="J87" s="4"/>
      <c r="K87" s="4"/>
      <c r="L87" s="5"/>
    </row>
    <row r="88">
      <c r="H88" s="4"/>
      <c r="I88" s="4"/>
      <c r="J88" s="4"/>
      <c r="K88" s="4"/>
      <c r="L88" s="5"/>
    </row>
    <row r="89">
      <c r="H89" s="4"/>
      <c r="I89" s="4"/>
      <c r="J89" s="4"/>
      <c r="K89" s="4"/>
      <c r="L89" s="5"/>
    </row>
    <row r="90">
      <c r="H90" s="4"/>
      <c r="I90" s="4"/>
      <c r="J90" s="4"/>
      <c r="K90" s="4"/>
      <c r="L90" s="5"/>
    </row>
    <row r="91">
      <c r="H91" s="4"/>
      <c r="I91" s="4"/>
      <c r="J91" s="4"/>
      <c r="K91" s="4"/>
      <c r="L91" s="5"/>
    </row>
    <row r="92">
      <c r="H92" s="4"/>
      <c r="I92" s="4"/>
      <c r="J92" s="4"/>
      <c r="K92" s="4"/>
      <c r="L92" s="5"/>
    </row>
    <row r="93">
      <c r="H93" s="4"/>
      <c r="I93" s="4"/>
      <c r="J93" s="4"/>
      <c r="K93" s="4"/>
      <c r="L93" s="5"/>
    </row>
    <row r="94">
      <c r="H94" s="4"/>
      <c r="I94" s="4"/>
      <c r="J94" s="4"/>
      <c r="K94" s="4"/>
      <c r="L94" s="5"/>
    </row>
    <row r="95">
      <c r="H95" s="4"/>
      <c r="I95" s="4"/>
      <c r="J95" s="4"/>
      <c r="K95" s="4"/>
      <c r="L95" s="5"/>
    </row>
    <row r="96">
      <c r="H96" s="4"/>
      <c r="I96" s="4"/>
      <c r="J96" s="4"/>
      <c r="K96" s="4"/>
      <c r="L96" s="5"/>
    </row>
    <row r="97">
      <c r="H97" s="4"/>
      <c r="I97" s="4"/>
      <c r="J97" s="4"/>
      <c r="K97" s="4"/>
      <c r="L97" s="5"/>
    </row>
    <row r="98">
      <c r="H98" s="4"/>
      <c r="I98" s="4"/>
      <c r="J98" s="4"/>
      <c r="K98" s="4"/>
      <c r="L98" s="5"/>
    </row>
    <row r="99">
      <c r="H99" s="4"/>
      <c r="I99" s="4"/>
      <c r="J99" s="4"/>
      <c r="K99" s="4"/>
      <c r="L99" s="5"/>
    </row>
    <row r="100">
      <c r="H100" s="4"/>
      <c r="I100" s="4"/>
      <c r="J100" s="4"/>
      <c r="K100" s="4"/>
      <c r="L100" s="5"/>
    </row>
    <row r="101">
      <c r="H101" s="4"/>
      <c r="I101" s="4"/>
      <c r="J101" s="4"/>
      <c r="K101" s="4"/>
      <c r="L101" s="5"/>
    </row>
    <row r="102">
      <c r="H102" s="4"/>
      <c r="I102" s="4"/>
      <c r="J102" s="4"/>
      <c r="K102" s="4"/>
      <c r="L102" s="5"/>
    </row>
    <row r="103">
      <c r="H103" s="4"/>
      <c r="I103" s="4"/>
      <c r="J103" s="4"/>
      <c r="K103" s="4"/>
      <c r="L103" s="5"/>
    </row>
    <row r="104">
      <c r="H104" s="4"/>
      <c r="I104" s="4"/>
      <c r="J104" s="4"/>
      <c r="K104" s="4"/>
      <c r="L104" s="5"/>
    </row>
    <row r="105">
      <c r="H105" s="4"/>
      <c r="I105" s="4"/>
      <c r="J105" s="4"/>
      <c r="K105" s="4"/>
      <c r="L105" s="5"/>
    </row>
    <row r="106">
      <c r="H106" s="4"/>
      <c r="I106" s="4"/>
      <c r="J106" s="4"/>
      <c r="K106" s="4"/>
      <c r="L106" s="5"/>
    </row>
    <row r="107">
      <c r="H107" s="4"/>
      <c r="I107" s="4"/>
      <c r="J107" s="4"/>
      <c r="K107" s="4"/>
      <c r="L107" s="5"/>
    </row>
    <row r="108">
      <c r="H108" s="4"/>
      <c r="I108" s="4"/>
      <c r="J108" s="4"/>
      <c r="K108" s="4"/>
      <c r="L108" s="5"/>
    </row>
    <row r="109">
      <c r="H109" s="4"/>
      <c r="I109" s="4"/>
      <c r="J109" s="4"/>
      <c r="K109" s="4"/>
      <c r="L109" s="5"/>
    </row>
    <row r="110">
      <c r="H110" s="4"/>
      <c r="I110" s="4"/>
      <c r="J110" s="4"/>
      <c r="K110" s="4"/>
      <c r="L110" s="5"/>
    </row>
    <row r="111">
      <c r="H111" s="4"/>
      <c r="I111" s="4"/>
      <c r="J111" s="4"/>
      <c r="K111" s="4"/>
      <c r="L111" s="5"/>
    </row>
    <row r="112">
      <c r="H112" s="4"/>
      <c r="I112" s="4"/>
      <c r="J112" s="4"/>
      <c r="K112" s="4"/>
      <c r="L112" s="5"/>
    </row>
    <row r="113">
      <c r="H113" s="4"/>
      <c r="I113" s="4"/>
      <c r="J113" s="4"/>
      <c r="K113" s="4"/>
      <c r="L113" s="5"/>
    </row>
    <row r="114">
      <c r="H114" s="4"/>
      <c r="I114" s="4"/>
      <c r="J114" s="4"/>
      <c r="K114" s="4"/>
      <c r="L114" s="5"/>
    </row>
    <row r="115">
      <c r="H115" s="4"/>
      <c r="I115" s="4"/>
      <c r="J115" s="4"/>
      <c r="K115" s="4"/>
      <c r="L115" s="5"/>
    </row>
    <row r="116">
      <c r="H116" s="4"/>
      <c r="I116" s="4"/>
      <c r="J116" s="4"/>
      <c r="K116" s="4"/>
      <c r="L116" s="5"/>
    </row>
    <row r="117">
      <c r="H117" s="4"/>
      <c r="I117" s="4"/>
      <c r="J117" s="4"/>
      <c r="K117" s="4"/>
      <c r="L117" s="5"/>
    </row>
    <row r="118">
      <c r="H118" s="4"/>
      <c r="I118" s="4"/>
      <c r="J118" s="4"/>
      <c r="K118" s="4"/>
      <c r="L118" s="5"/>
    </row>
    <row r="119">
      <c r="H119" s="4"/>
      <c r="I119" s="4"/>
      <c r="J119" s="4"/>
      <c r="K119" s="4"/>
      <c r="L119" s="5"/>
    </row>
    <row r="120">
      <c r="H120" s="4"/>
      <c r="I120" s="4"/>
      <c r="J120" s="4"/>
      <c r="K120" s="4"/>
      <c r="L120" s="5"/>
    </row>
    <row r="121">
      <c r="H121" s="4"/>
      <c r="I121" s="4"/>
      <c r="J121" s="4"/>
      <c r="K121" s="4"/>
      <c r="L121" s="5"/>
    </row>
    <row r="122">
      <c r="H122" s="4"/>
      <c r="I122" s="4"/>
      <c r="J122" s="4"/>
      <c r="K122" s="4"/>
      <c r="L122" s="5"/>
    </row>
    <row r="123">
      <c r="H123" s="4"/>
      <c r="I123" s="4"/>
      <c r="J123" s="4"/>
      <c r="K123" s="4"/>
      <c r="L123" s="5"/>
    </row>
    <row r="124">
      <c r="H124" s="4"/>
      <c r="I124" s="4"/>
      <c r="J124" s="4"/>
      <c r="K124" s="4"/>
      <c r="L124" s="5"/>
    </row>
    <row r="125">
      <c r="H125" s="4"/>
      <c r="I125" s="4"/>
      <c r="J125" s="4"/>
      <c r="K125" s="4"/>
      <c r="L125" s="5"/>
    </row>
    <row r="126">
      <c r="H126" s="4"/>
      <c r="I126" s="4"/>
      <c r="J126" s="4"/>
      <c r="K126" s="4"/>
      <c r="L126" s="5"/>
    </row>
  </sheetData>
  <mergeCells count="14">
    <mergeCell ref="C10:C11"/>
    <mergeCell ref="E10:I10"/>
    <mergeCell ref="B12:B16"/>
    <mergeCell ref="B18:B19"/>
    <mergeCell ref="C18:C19"/>
    <mergeCell ref="E18:I18"/>
    <mergeCell ref="A2:C2"/>
    <mergeCell ref="A3:B3"/>
    <mergeCell ref="A4:B4"/>
    <mergeCell ref="A5:B5"/>
    <mergeCell ref="A6:B6"/>
    <mergeCell ref="A7:B7"/>
    <mergeCell ref="B10:B11"/>
    <mergeCell ref="B20:B2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57"/>
    <col customWidth="1" min="15" max="16" width="179.14"/>
  </cols>
  <sheetData>
    <row r="1">
      <c r="E1" s="4"/>
      <c r="F1" s="4"/>
      <c r="G1" s="4"/>
      <c r="H1" s="4"/>
    </row>
    <row r="2">
      <c r="A2" s="1" t="s">
        <v>0</v>
      </c>
      <c r="B2" s="2">
        <v>2003.0</v>
      </c>
      <c r="E2" s="4"/>
      <c r="F2" s="4"/>
      <c r="G2" s="4"/>
      <c r="H2" s="4"/>
    </row>
    <row r="3">
      <c r="E3" s="4"/>
      <c r="F3" s="4"/>
      <c r="G3" s="4"/>
      <c r="H3" s="4"/>
    </row>
    <row r="4">
      <c r="E4" s="4"/>
      <c r="F4" s="4"/>
      <c r="G4" s="4"/>
      <c r="H4" s="4"/>
    </row>
    <row r="5">
      <c r="A5" s="6" t="s">
        <v>1</v>
      </c>
      <c r="B5" s="7"/>
      <c r="C5" s="8"/>
      <c r="E5" s="6" t="s">
        <v>68</v>
      </c>
      <c r="F5" s="7"/>
      <c r="G5" s="8"/>
      <c r="H5" s="4"/>
    </row>
    <row r="6">
      <c r="A6" s="10" t="s">
        <v>5</v>
      </c>
      <c r="B6" s="8"/>
      <c r="C6" s="11" t="s">
        <v>25</v>
      </c>
      <c r="E6" s="99" t="s">
        <v>78</v>
      </c>
      <c r="F6" s="100"/>
      <c r="G6" s="101"/>
      <c r="H6" s="4"/>
    </row>
    <row r="7">
      <c r="A7" s="10" t="s">
        <v>4</v>
      </c>
      <c r="B7" s="8"/>
      <c r="C7" s="12">
        <v>1.0E-5</v>
      </c>
      <c r="E7" s="102"/>
      <c r="G7" s="103"/>
      <c r="H7" s="4"/>
    </row>
    <row r="8">
      <c r="A8" s="10" t="s">
        <v>14</v>
      </c>
      <c r="B8" s="8"/>
      <c r="C8" s="11" t="s">
        <v>18</v>
      </c>
      <c r="E8" s="104"/>
      <c r="F8" s="105"/>
      <c r="G8" s="106"/>
      <c r="H8" s="4"/>
    </row>
    <row r="9">
      <c r="A9" s="10" t="s">
        <v>70</v>
      </c>
      <c r="B9" s="8"/>
      <c r="C9" s="11" t="s">
        <v>71</v>
      </c>
      <c r="E9" s="4"/>
      <c r="F9" s="4"/>
      <c r="G9" s="4"/>
      <c r="H9" s="4"/>
    </row>
    <row r="10">
      <c r="A10" s="10" t="s">
        <v>79</v>
      </c>
      <c r="B10" s="8"/>
      <c r="C10" s="11" t="s">
        <v>74</v>
      </c>
      <c r="E10" s="4"/>
      <c r="F10" s="4"/>
      <c r="G10" s="4"/>
      <c r="H10" s="4"/>
    </row>
    <row r="11">
      <c r="A11" s="10" t="s">
        <v>7</v>
      </c>
      <c r="B11" s="8"/>
      <c r="C11" s="11" t="s">
        <v>21</v>
      </c>
      <c r="E11" s="4"/>
      <c r="F11" s="4"/>
      <c r="G11" s="4"/>
      <c r="H11" s="4"/>
    </row>
    <row r="12">
      <c r="A12" s="10" t="s">
        <v>9</v>
      </c>
      <c r="B12" s="8"/>
      <c r="C12" s="11" t="s">
        <v>10</v>
      </c>
      <c r="E12" s="4"/>
      <c r="F12" s="4"/>
      <c r="G12" s="4"/>
      <c r="H12" s="4"/>
    </row>
    <row r="13">
      <c r="E13" s="4"/>
      <c r="F13" s="4"/>
      <c r="G13" s="4"/>
      <c r="H13" s="4"/>
    </row>
    <row r="14">
      <c r="E14" s="4"/>
      <c r="F14" s="4"/>
      <c r="G14" s="4"/>
      <c r="H14" s="4"/>
    </row>
    <row r="15">
      <c r="E15" s="4"/>
      <c r="F15" s="4"/>
      <c r="G15" s="4"/>
      <c r="H15" s="4"/>
    </row>
    <row r="16">
      <c r="E16" s="4"/>
      <c r="F16" s="4"/>
      <c r="G16" s="4"/>
      <c r="H16" s="4"/>
    </row>
    <row r="17">
      <c r="E17" s="4"/>
      <c r="F17" s="4"/>
      <c r="G17" s="4"/>
      <c r="H17" s="4"/>
    </row>
    <row r="18">
      <c r="C18" s="11" t="s">
        <v>12</v>
      </c>
      <c r="D18" s="11" t="s">
        <v>80</v>
      </c>
      <c r="E18" s="125" t="s">
        <v>81</v>
      </c>
      <c r="F18" s="125" t="s">
        <v>23</v>
      </c>
      <c r="G18" s="125" t="s">
        <v>82</v>
      </c>
      <c r="H18" s="126" t="s">
        <v>27</v>
      </c>
      <c r="I18" s="11" t="s">
        <v>28</v>
      </c>
    </row>
    <row r="19">
      <c r="C19" s="34" t="s">
        <v>16</v>
      </c>
      <c r="D19" s="30" t="s">
        <v>83</v>
      </c>
      <c r="E19" s="35">
        <v>2.0</v>
      </c>
      <c r="F19" s="127">
        <f>E19/1</f>
        <v>2</v>
      </c>
      <c r="G19" s="35">
        <v>3.12</v>
      </c>
      <c r="H19" s="127">
        <f>G19/1</f>
        <v>3.12</v>
      </c>
      <c r="I19" s="30">
        <v>139.0</v>
      </c>
    </row>
    <row r="20" ht="13.5" customHeight="1">
      <c r="C20" s="29"/>
      <c r="D20" s="30" t="s">
        <v>85</v>
      </c>
      <c r="E20" s="35">
        <v>3.8</v>
      </c>
      <c r="F20" s="127">
        <f>E20/2</f>
        <v>1.9</v>
      </c>
      <c r="G20" s="35">
        <v>5.562</v>
      </c>
      <c r="H20" s="127">
        <f>G20/2</f>
        <v>2.781</v>
      </c>
      <c r="I20" s="30">
        <v>865.0</v>
      </c>
    </row>
    <row r="21" ht="13.5" customHeight="1">
      <c r="C21" s="29"/>
      <c r="D21" s="30" t="s">
        <v>86</v>
      </c>
      <c r="E21" s="35">
        <v>5.2</v>
      </c>
      <c r="F21" s="127">
        <f>E21/3</f>
        <v>1.733333333</v>
      </c>
      <c r="G21" s="35">
        <v>7.672</v>
      </c>
      <c r="H21" s="35">
        <f>G21/3</f>
        <v>2.557333333</v>
      </c>
      <c r="I21" s="30">
        <v>811.0</v>
      </c>
    </row>
    <row r="22">
      <c r="C22" s="29"/>
      <c r="D22" s="30" t="s">
        <v>88</v>
      </c>
      <c r="E22" s="35">
        <v>6.6</v>
      </c>
      <c r="F22" s="127">
        <f>E22/4</f>
        <v>1.65</v>
      </c>
      <c r="G22" s="127">
        <f>4.925*2</f>
        <v>9.85</v>
      </c>
      <c r="H22" s="127">
        <f>G22/4</f>
        <v>2.4625</v>
      </c>
      <c r="I22" s="30">
        <v>674.0</v>
      </c>
    </row>
    <row r="23">
      <c r="C23" s="32"/>
      <c r="D23" s="30" t="s">
        <v>91</v>
      </c>
      <c r="E23" s="35">
        <v>7.4</v>
      </c>
      <c r="F23" s="127">
        <f>E23/6</f>
        <v>1.233333333</v>
      </c>
      <c r="G23" s="127">
        <f>5.508*2</f>
        <v>11.016</v>
      </c>
      <c r="H23" s="127">
        <f>G23/6</f>
        <v>1.836</v>
      </c>
      <c r="I23" s="30">
        <v>323.0</v>
      </c>
    </row>
    <row r="24">
      <c r="E24" s="4"/>
      <c r="F24" s="4"/>
      <c r="G24" s="4"/>
      <c r="H24" s="4"/>
    </row>
    <row r="25">
      <c r="C25" s="11" t="s">
        <v>12</v>
      </c>
      <c r="D25" s="11" t="s">
        <v>80</v>
      </c>
      <c r="E25" s="125" t="s">
        <v>81</v>
      </c>
      <c r="F25" s="125" t="s">
        <v>23</v>
      </c>
      <c r="G25" s="125" t="s">
        <v>82</v>
      </c>
      <c r="H25" s="126" t="s">
        <v>27</v>
      </c>
      <c r="I25" s="11" t="s">
        <v>28</v>
      </c>
    </row>
    <row r="26">
      <c r="C26" s="78" t="s">
        <v>16</v>
      </c>
      <c r="D26" s="30" t="s">
        <v>92</v>
      </c>
      <c r="E26" s="35">
        <v>3.0</v>
      </c>
      <c r="F26" s="127">
        <f>E26/2</f>
        <v>1.5</v>
      </c>
      <c r="G26" s="35">
        <v>4.376</v>
      </c>
      <c r="H26" s="127">
        <f>G26/2</f>
        <v>2.188</v>
      </c>
      <c r="I26" s="30">
        <v>116.0</v>
      </c>
    </row>
    <row r="27">
      <c r="C27" s="29"/>
      <c r="D27" s="30" t="s">
        <v>93</v>
      </c>
      <c r="E27" s="35">
        <v>4.2</v>
      </c>
      <c r="F27" s="127">
        <f>E27/3</f>
        <v>1.4</v>
      </c>
      <c r="G27" s="35">
        <v>6.312</v>
      </c>
      <c r="H27" s="127">
        <f>G27/3</f>
        <v>2.104</v>
      </c>
      <c r="I27" s="30">
        <v>649.0</v>
      </c>
    </row>
    <row r="28">
      <c r="C28" s="29"/>
      <c r="D28" s="30" t="s">
        <v>94</v>
      </c>
      <c r="E28" s="35">
        <v>5.4</v>
      </c>
      <c r="F28" s="127">
        <f>E28/4</f>
        <v>1.35</v>
      </c>
      <c r="G28" s="127">
        <f>3.976*2</f>
        <v>7.952</v>
      </c>
      <c r="H28" s="127">
        <f>G28/4</f>
        <v>1.988</v>
      </c>
      <c r="I28" s="30">
        <v>937.0</v>
      </c>
    </row>
    <row r="29">
      <c r="C29" s="32"/>
      <c r="D29" s="30" t="s">
        <v>95</v>
      </c>
      <c r="E29" s="35">
        <v>7.2</v>
      </c>
      <c r="F29" s="127">
        <f>E29/6</f>
        <v>1.2</v>
      </c>
      <c r="G29" s="127">
        <f>5.377*2</f>
        <v>10.754</v>
      </c>
      <c r="H29" s="127">
        <f>G29/6</f>
        <v>1.792333333</v>
      </c>
      <c r="I29" s="30">
        <v>946.0</v>
      </c>
    </row>
    <row r="30">
      <c r="C30" s="132"/>
      <c r="D30" s="9"/>
      <c r="E30" s="133"/>
      <c r="F30" s="134"/>
      <c r="G30" s="134"/>
      <c r="H30" s="134"/>
      <c r="I30" s="9"/>
    </row>
    <row r="31">
      <c r="C31" s="132"/>
      <c r="D31" s="9"/>
      <c r="E31" s="133"/>
      <c r="F31" s="134"/>
      <c r="G31" s="134"/>
      <c r="H31" s="134"/>
      <c r="I31" s="9"/>
    </row>
    <row r="32">
      <c r="C32" s="11" t="s">
        <v>12</v>
      </c>
      <c r="D32" s="11" t="s">
        <v>80</v>
      </c>
      <c r="E32" s="125" t="s">
        <v>81</v>
      </c>
      <c r="F32" s="125" t="s">
        <v>23</v>
      </c>
      <c r="G32" s="125" t="s">
        <v>82</v>
      </c>
      <c r="H32" s="126" t="s">
        <v>27</v>
      </c>
      <c r="I32" s="11" t="s">
        <v>28</v>
      </c>
    </row>
    <row r="33">
      <c r="C33" s="34" t="s">
        <v>29</v>
      </c>
      <c r="D33" s="30" t="s">
        <v>83</v>
      </c>
      <c r="E33" s="35">
        <v>1.4</v>
      </c>
      <c r="F33" s="127">
        <f>E33/1</f>
        <v>1.4</v>
      </c>
      <c r="G33" s="35">
        <v>2.04</v>
      </c>
      <c r="H33" s="127">
        <f>G33/1</f>
        <v>2.04</v>
      </c>
      <c r="I33" s="30">
        <v>163.0</v>
      </c>
    </row>
    <row r="34">
      <c r="C34" s="29"/>
      <c r="D34" s="30" t="s">
        <v>85</v>
      </c>
      <c r="E34" s="35">
        <v>2.4</v>
      </c>
      <c r="F34" s="127">
        <f>E34/2</f>
        <v>1.2</v>
      </c>
      <c r="G34" s="35">
        <f>1.822*2</f>
        <v>3.644</v>
      </c>
      <c r="H34" s="127">
        <f>G34/2</f>
        <v>1.822</v>
      </c>
      <c r="I34" s="30">
        <v>243.0</v>
      </c>
    </row>
    <row r="35">
      <c r="C35" s="29"/>
      <c r="D35" s="30" t="s">
        <v>86</v>
      </c>
      <c r="E35" s="35">
        <v>3.4</v>
      </c>
      <c r="F35" s="127">
        <f>E35/3</f>
        <v>1.133333333</v>
      </c>
      <c r="G35" s="35">
        <f>2.572*2</f>
        <v>5.144</v>
      </c>
      <c r="H35" s="127">
        <f>G35/3</f>
        <v>1.714666667</v>
      </c>
      <c r="I35" s="30">
        <v>420.0</v>
      </c>
    </row>
    <row r="36">
      <c r="C36" s="29"/>
      <c r="D36" s="30" t="s">
        <v>88</v>
      </c>
      <c r="E36" s="35">
        <v>4.4</v>
      </c>
      <c r="F36" s="127">
        <f>E36/4</f>
        <v>1.1</v>
      </c>
      <c r="G36" s="35">
        <v>6.598</v>
      </c>
      <c r="H36" s="127">
        <f>G36/4</f>
        <v>1.6495</v>
      </c>
      <c r="I36" s="30">
        <v>303.0</v>
      </c>
    </row>
    <row r="37">
      <c r="C37" s="32"/>
      <c r="D37" s="30" t="s">
        <v>91</v>
      </c>
      <c r="E37" s="35">
        <v>5.4</v>
      </c>
      <c r="F37" s="127">
        <f>E37/6</f>
        <v>0.9</v>
      </c>
      <c r="G37" s="35">
        <f>4.046*2</f>
        <v>8.092</v>
      </c>
      <c r="H37" s="127">
        <f>G37/6</f>
        <v>1.348666667</v>
      </c>
      <c r="I37" s="30">
        <v>210.0</v>
      </c>
    </row>
    <row r="38">
      <c r="C38" s="132"/>
      <c r="D38" s="9"/>
      <c r="E38" s="133"/>
      <c r="F38" s="134"/>
      <c r="G38" s="134"/>
      <c r="H38" s="134"/>
      <c r="I38" s="9"/>
    </row>
    <row r="39">
      <c r="C39" s="132"/>
      <c r="D39" s="9"/>
      <c r="E39" s="133"/>
      <c r="F39" s="134"/>
      <c r="G39" s="134"/>
      <c r="H39" s="134"/>
      <c r="I39" s="9"/>
    </row>
    <row r="40">
      <c r="C40" s="11" t="s">
        <v>12</v>
      </c>
      <c r="D40" s="11" t="s">
        <v>80</v>
      </c>
      <c r="E40" s="125" t="s">
        <v>81</v>
      </c>
      <c r="F40" s="125" t="s">
        <v>23</v>
      </c>
      <c r="G40" s="125" t="s">
        <v>82</v>
      </c>
      <c r="H40" s="126" t="s">
        <v>27</v>
      </c>
      <c r="I40" s="11" t="s">
        <v>28</v>
      </c>
    </row>
    <row r="41">
      <c r="C41" s="34" t="s">
        <v>29</v>
      </c>
      <c r="D41" s="30" t="s">
        <v>92</v>
      </c>
      <c r="E41" s="35">
        <v>1.8</v>
      </c>
      <c r="F41" s="127">
        <f>E41/2</f>
        <v>0.9</v>
      </c>
      <c r="G41" s="35">
        <f>1.386*2</f>
        <v>2.772</v>
      </c>
      <c r="H41" s="127">
        <f>G41/2</f>
        <v>1.386</v>
      </c>
      <c r="I41" s="30">
        <v>130.0</v>
      </c>
    </row>
    <row r="42">
      <c r="C42" s="29"/>
      <c r="D42" s="30" t="s">
        <v>93</v>
      </c>
      <c r="E42" s="35">
        <v>2.6</v>
      </c>
      <c r="F42" s="127">
        <f>E42/3</f>
        <v>0.8666666667</v>
      </c>
      <c r="G42" s="35">
        <f>1.962*2</f>
        <v>3.924</v>
      </c>
      <c r="H42" s="127">
        <f>G42/3</f>
        <v>1.308</v>
      </c>
      <c r="I42" s="30">
        <v>270.0</v>
      </c>
    </row>
    <row r="43">
      <c r="C43" s="29"/>
      <c r="D43" s="30" t="s">
        <v>94</v>
      </c>
      <c r="E43" s="35">
        <v>3.4</v>
      </c>
      <c r="F43" s="127">
        <f>E43/4</f>
        <v>0.85</v>
      </c>
      <c r="G43" s="127">
        <f>2.555*2</f>
        <v>5.11</v>
      </c>
      <c r="H43" s="127">
        <f>G43/4</f>
        <v>1.2775</v>
      </c>
      <c r="I43" s="30">
        <v>315.0</v>
      </c>
    </row>
    <row r="44">
      <c r="C44" s="32"/>
      <c r="D44" s="30" t="s">
        <v>95</v>
      </c>
      <c r="E44" s="35">
        <v>4.8</v>
      </c>
      <c r="F44" s="127">
        <f>E44/6</f>
        <v>0.8</v>
      </c>
      <c r="G44" s="35">
        <f>3.514*2</f>
        <v>7.028</v>
      </c>
      <c r="H44" s="127">
        <f>G44/6</f>
        <v>1.171333333</v>
      </c>
      <c r="I44" s="30">
        <v>231.0</v>
      </c>
    </row>
    <row r="45">
      <c r="C45" s="112"/>
      <c r="D45" s="9"/>
      <c r="E45" s="133"/>
      <c r="F45" s="134"/>
      <c r="G45" s="133"/>
      <c r="H45" s="134"/>
      <c r="I45" s="9"/>
    </row>
    <row r="46">
      <c r="C46" s="112" t="s">
        <v>96</v>
      </c>
      <c r="D46" s="9" t="s">
        <v>97</v>
      </c>
      <c r="E46" s="133" t="s">
        <v>29</v>
      </c>
      <c r="F46" s="134"/>
      <c r="G46" s="133"/>
      <c r="H46" s="134"/>
      <c r="I46" s="9"/>
    </row>
    <row r="47">
      <c r="C47" s="112" t="str">
        <f>D41</f>
        <v>2 + 0 HT</v>
      </c>
      <c r="D47" s="133">
        <f>H27</f>
        <v>2.104</v>
      </c>
      <c r="E47" s="133">
        <f>H41</f>
        <v>1.386</v>
      </c>
      <c r="F47" s="134"/>
      <c r="G47" s="133"/>
      <c r="H47" s="134"/>
      <c r="I47" s="9"/>
    </row>
    <row r="48">
      <c r="C48" s="112" t="str">
        <f>D34</f>
        <v>2 + 2 HT</v>
      </c>
      <c r="D48" s="133">
        <f>H20</f>
        <v>2.781</v>
      </c>
      <c r="E48" s="133">
        <f>H34</f>
        <v>1.822</v>
      </c>
      <c r="F48" s="134"/>
      <c r="G48" s="133"/>
      <c r="H48" s="134"/>
      <c r="I48" s="9"/>
    </row>
    <row r="49">
      <c r="C49" s="112" t="str">
        <f>D43</f>
        <v>4 + 0 HT</v>
      </c>
      <c r="D49" s="133">
        <f>H28</f>
        <v>1.988</v>
      </c>
      <c r="E49" s="133">
        <f>H43</f>
        <v>1.2775</v>
      </c>
      <c r="F49" s="134"/>
      <c r="G49" s="133"/>
      <c r="H49" s="134"/>
      <c r="I49" s="9"/>
    </row>
    <row r="50">
      <c r="C50" s="112" t="str">
        <f>D36</f>
        <v>4 + 4 HT</v>
      </c>
      <c r="D50" s="133">
        <f>H22</f>
        <v>2.4625</v>
      </c>
      <c r="E50" s="133">
        <f>H36</f>
        <v>1.6495</v>
      </c>
      <c r="F50" s="134"/>
      <c r="G50" s="133"/>
      <c r="H50" s="134"/>
      <c r="I50" s="9"/>
    </row>
    <row r="51">
      <c r="C51" s="112"/>
      <c r="D51" s="9"/>
      <c r="E51" s="133"/>
      <c r="F51" s="134"/>
      <c r="G51" s="133"/>
      <c r="H51" s="134"/>
      <c r="I51" s="9"/>
    </row>
    <row r="52">
      <c r="C52" s="112"/>
      <c r="D52" s="9"/>
      <c r="E52" s="133"/>
      <c r="F52" s="134"/>
      <c r="G52" s="133"/>
      <c r="H52" s="134"/>
      <c r="I52" s="9"/>
    </row>
    <row r="53">
      <c r="C53" s="112"/>
      <c r="D53" s="9"/>
      <c r="E53" s="133"/>
      <c r="F53" s="134"/>
      <c r="G53" s="133"/>
      <c r="H53" s="134"/>
      <c r="I53" s="9"/>
    </row>
    <row r="54">
      <c r="C54" s="112"/>
      <c r="D54" s="9"/>
      <c r="E54" s="133"/>
      <c r="F54" s="134"/>
      <c r="G54" s="133"/>
      <c r="H54" s="134"/>
      <c r="I54" s="9"/>
    </row>
    <row r="55">
      <c r="C55" s="112"/>
      <c r="D55" s="9"/>
      <c r="E55" s="133"/>
      <c r="F55" s="134"/>
      <c r="G55" s="133"/>
      <c r="H55" s="134"/>
      <c r="I55" s="9"/>
    </row>
    <row r="56">
      <c r="C56" s="112"/>
      <c r="D56" s="9"/>
      <c r="E56" s="133"/>
      <c r="F56" s="134"/>
      <c r="G56" s="133"/>
      <c r="H56" s="134"/>
      <c r="I56" s="9"/>
    </row>
    <row r="57">
      <c r="C57" s="112"/>
      <c r="D57" s="9"/>
      <c r="E57" s="133"/>
      <c r="F57" s="134"/>
      <c r="G57" s="133"/>
      <c r="H57" s="134"/>
      <c r="I57" s="9"/>
    </row>
    <row r="58">
      <c r="C58" s="112"/>
      <c r="D58" s="9"/>
      <c r="E58" s="133"/>
      <c r="F58" s="134"/>
      <c r="G58" s="133"/>
      <c r="H58" s="134"/>
      <c r="I58" s="9"/>
    </row>
    <row r="59">
      <c r="C59" s="112"/>
      <c r="D59" s="9"/>
      <c r="E59" s="133"/>
      <c r="F59" s="134"/>
      <c r="G59" s="133"/>
      <c r="H59" s="134"/>
      <c r="I59" s="9"/>
    </row>
    <row r="60">
      <c r="C60" s="112"/>
      <c r="D60" s="9"/>
      <c r="E60" s="133"/>
      <c r="F60" s="134"/>
      <c r="G60" s="133"/>
      <c r="H60" s="134"/>
      <c r="I60" s="9"/>
    </row>
    <row r="61">
      <c r="C61" s="112"/>
      <c r="D61" s="9"/>
      <c r="E61" s="133"/>
      <c r="F61" s="134"/>
      <c r="G61" s="133"/>
      <c r="H61" s="134"/>
      <c r="I61" s="9"/>
    </row>
    <row r="62">
      <c r="C62" s="112"/>
      <c r="D62" s="9"/>
      <c r="E62" s="133"/>
      <c r="F62" s="134"/>
      <c r="G62" s="133"/>
      <c r="H62" s="134"/>
      <c r="I62" s="9"/>
    </row>
    <row r="63">
      <c r="C63" s="112"/>
      <c r="D63" s="9"/>
      <c r="E63" s="133"/>
      <c r="F63" s="134"/>
      <c r="G63" s="133"/>
      <c r="H63" s="134"/>
      <c r="I63" s="9"/>
    </row>
    <row r="64">
      <c r="C64" s="112"/>
      <c r="D64" s="9"/>
      <c r="E64" s="133"/>
      <c r="F64" s="134"/>
      <c r="G64" s="133"/>
      <c r="H64" s="134"/>
      <c r="I64" s="9"/>
    </row>
    <row r="65">
      <c r="C65" s="112"/>
      <c r="D65" s="9"/>
      <c r="E65" s="133"/>
      <c r="F65" s="134"/>
      <c r="G65" s="133"/>
      <c r="H65" s="134"/>
      <c r="I65" s="9"/>
    </row>
    <row r="66">
      <c r="C66" s="112"/>
      <c r="D66" s="9"/>
      <c r="E66" s="133"/>
      <c r="F66" s="134"/>
      <c r="G66" s="133"/>
      <c r="H66" s="134"/>
      <c r="I66" s="9"/>
    </row>
    <row r="67">
      <c r="C67" s="112"/>
      <c r="D67" s="9"/>
      <c r="E67" s="133"/>
      <c r="F67" s="134"/>
      <c r="G67" s="133"/>
      <c r="H67" s="134"/>
      <c r="I67" s="9"/>
    </row>
  </sheetData>
  <mergeCells count="14">
    <mergeCell ref="A10:B10"/>
    <mergeCell ref="A11:B11"/>
    <mergeCell ref="A12:B12"/>
    <mergeCell ref="C19:C23"/>
    <mergeCell ref="C26:C29"/>
    <mergeCell ref="C33:C37"/>
    <mergeCell ref="C41:C44"/>
    <mergeCell ref="A5:C5"/>
    <mergeCell ref="E5:G5"/>
    <mergeCell ref="A6:B6"/>
    <mergeCell ref="E6:G8"/>
    <mergeCell ref="A7:B7"/>
    <mergeCell ref="A8:B8"/>
    <mergeCell ref="A9:B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14"/>
    <col customWidth="1" min="4" max="4" width="31.57"/>
  </cols>
  <sheetData>
    <row r="2">
      <c r="A2" s="1" t="s">
        <v>0</v>
      </c>
      <c r="B2" s="2">
        <v>2003.0</v>
      </c>
    </row>
    <row r="5">
      <c r="A5" s="6" t="s">
        <v>1</v>
      </c>
      <c r="B5" s="7"/>
      <c r="C5" s="8"/>
      <c r="E5" s="6" t="s">
        <v>68</v>
      </c>
      <c r="F5" s="7"/>
      <c r="G5" s="8"/>
    </row>
    <row r="6">
      <c r="A6" s="10" t="s">
        <v>2</v>
      </c>
      <c r="B6" s="8"/>
      <c r="C6" s="11" t="s">
        <v>3</v>
      </c>
      <c r="E6" s="99" t="s">
        <v>69</v>
      </c>
      <c r="F6" s="100"/>
      <c r="G6" s="101"/>
    </row>
    <row r="7">
      <c r="A7" s="10" t="s">
        <v>4</v>
      </c>
      <c r="B7" s="8"/>
      <c r="C7" s="12">
        <v>1.0E-5</v>
      </c>
      <c r="E7" s="102"/>
      <c r="G7" s="103"/>
    </row>
    <row r="8">
      <c r="A8" s="10" t="s">
        <v>5</v>
      </c>
      <c r="B8" s="8"/>
      <c r="C8" s="11" t="s">
        <v>25</v>
      </c>
      <c r="E8" s="104"/>
      <c r="F8" s="105"/>
      <c r="G8" s="106"/>
    </row>
    <row r="9">
      <c r="A9" s="10" t="s">
        <v>14</v>
      </c>
      <c r="B9" s="8"/>
      <c r="C9" s="11" t="s">
        <v>18</v>
      </c>
    </row>
    <row r="10">
      <c r="A10" s="10" t="s">
        <v>70</v>
      </c>
      <c r="B10" s="8"/>
      <c r="C10" s="11" t="s">
        <v>71</v>
      </c>
    </row>
    <row r="11">
      <c r="A11" s="10" t="s">
        <v>7</v>
      </c>
      <c r="B11" s="8"/>
      <c r="C11" s="11" t="s">
        <v>21</v>
      </c>
    </row>
    <row r="12">
      <c r="A12" s="10" t="s">
        <v>9</v>
      </c>
      <c r="B12" s="8"/>
      <c r="C12" s="11" t="s">
        <v>10</v>
      </c>
    </row>
    <row r="15">
      <c r="C15" s="107"/>
      <c r="D15" s="108" t="s">
        <v>13</v>
      </c>
      <c r="E15" s="108" t="s">
        <v>12</v>
      </c>
      <c r="F15" s="109" t="s">
        <v>72</v>
      </c>
      <c r="G15" s="18"/>
      <c r="H15" s="18"/>
      <c r="I15" s="18"/>
      <c r="J15" s="19"/>
    </row>
    <row r="16">
      <c r="C16" s="107"/>
      <c r="D16" s="20"/>
      <c r="E16" s="110"/>
      <c r="F16" s="111" t="s">
        <v>73</v>
      </c>
      <c r="G16" s="111" t="s">
        <v>74</v>
      </c>
      <c r="H16" s="111" t="s">
        <v>75</v>
      </c>
      <c r="I16" s="111" t="s">
        <v>76</v>
      </c>
      <c r="J16" s="111" t="s">
        <v>77</v>
      </c>
    </row>
    <row r="17">
      <c r="C17" s="112"/>
      <c r="D17" s="113" t="s">
        <v>17</v>
      </c>
      <c r="E17" s="114" t="s">
        <v>16</v>
      </c>
      <c r="F17" s="115">
        <v>3.8</v>
      </c>
      <c r="G17" s="115">
        <v>3.8</v>
      </c>
      <c r="H17" s="115">
        <v>3.8</v>
      </c>
      <c r="I17" s="115">
        <v>3.8</v>
      </c>
      <c r="J17" s="115">
        <v>3.8</v>
      </c>
    </row>
    <row r="18">
      <c r="C18" s="112"/>
      <c r="D18" s="116"/>
      <c r="E18" s="114" t="s">
        <v>29</v>
      </c>
      <c r="F18" s="115">
        <v>2.6</v>
      </c>
      <c r="G18" s="115">
        <v>2.4</v>
      </c>
      <c r="H18" s="115">
        <v>2.2</v>
      </c>
      <c r="I18" s="115">
        <v>2.0</v>
      </c>
      <c r="J18" s="117">
        <v>2.0</v>
      </c>
    </row>
    <row r="19">
      <c r="C19" s="112"/>
      <c r="D19" s="118" t="s">
        <v>23</v>
      </c>
      <c r="E19" s="114" t="s">
        <v>16</v>
      </c>
      <c r="F19" s="115">
        <f t="shared" ref="F19:J19" si="1">F17/2</f>
        <v>1.9</v>
      </c>
      <c r="G19" s="115">
        <f t="shared" si="1"/>
        <v>1.9</v>
      </c>
      <c r="H19" s="115">
        <f t="shared" si="1"/>
        <v>1.9</v>
      </c>
      <c r="I19" s="115">
        <f t="shared" si="1"/>
        <v>1.9</v>
      </c>
      <c r="J19" s="117">
        <f t="shared" si="1"/>
        <v>1.9</v>
      </c>
    </row>
    <row r="20">
      <c r="C20" s="112"/>
      <c r="D20" s="116"/>
      <c r="E20" s="114" t="s">
        <v>29</v>
      </c>
      <c r="F20" s="115">
        <f t="shared" ref="F20:J20" si="2">F18/2</f>
        <v>1.3</v>
      </c>
      <c r="G20" s="115">
        <f t="shared" si="2"/>
        <v>1.2</v>
      </c>
      <c r="H20" s="115">
        <f t="shared" si="2"/>
        <v>1.1</v>
      </c>
      <c r="I20" s="115">
        <f t="shared" si="2"/>
        <v>1</v>
      </c>
      <c r="J20" s="117">
        <f t="shared" si="2"/>
        <v>1</v>
      </c>
    </row>
    <row r="21">
      <c r="C21" s="112"/>
      <c r="D21" s="118" t="s">
        <v>26</v>
      </c>
      <c r="E21" s="114" t="s">
        <v>16</v>
      </c>
      <c r="F21" s="115">
        <f t="shared" ref="F21:J21" si="3">2.781*2</f>
        <v>5.562</v>
      </c>
      <c r="G21" s="115">
        <f t="shared" si="3"/>
        <v>5.562</v>
      </c>
      <c r="H21" s="115">
        <f t="shared" si="3"/>
        <v>5.562</v>
      </c>
      <c r="I21" s="115">
        <f t="shared" si="3"/>
        <v>5.562</v>
      </c>
      <c r="J21" s="115">
        <f t="shared" si="3"/>
        <v>5.562</v>
      </c>
    </row>
    <row r="22">
      <c r="C22" s="112"/>
      <c r="D22" s="116"/>
      <c r="E22" s="114" t="s">
        <v>29</v>
      </c>
      <c r="F22" s="115">
        <f>1.988*2</f>
        <v>3.976</v>
      </c>
      <c r="G22" s="115">
        <f>1.814*2</f>
        <v>3.628</v>
      </c>
      <c r="H22" s="115">
        <f>1.665*2</f>
        <v>3.33</v>
      </c>
      <c r="I22" s="115">
        <f>1.508*2</f>
        <v>3.016</v>
      </c>
      <c r="J22" s="117">
        <f>1.421*2</f>
        <v>2.842</v>
      </c>
    </row>
    <row r="23">
      <c r="C23" s="112"/>
      <c r="D23" s="118" t="s">
        <v>27</v>
      </c>
      <c r="E23" s="114" t="s">
        <v>16</v>
      </c>
      <c r="F23" s="115">
        <f t="shared" ref="F23:J23" si="4">F21/2</f>
        <v>2.781</v>
      </c>
      <c r="G23" s="115">
        <f t="shared" si="4"/>
        <v>2.781</v>
      </c>
      <c r="H23" s="115">
        <f t="shared" si="4"/>
        <v>2.781</v>
      </c>
      <c r="I23" s="115">
        <f t="shared" si="4"/>
        <v>2.781</v>
      </c>
      <c r="J23" s="117">
        <f t="shared" si="4"/>
        <v>2.781</v>
      </c>
    </row>
    <row r="24">
      <c r="C24" s="112"/>
      <c r="D24" s="116"/>
      <c r="E24" s="114" t="s">
        <v>29</v>
      </c>
      <c r="F24" s="115">
        <f t="shared" ref="F24:J24" si="5">F22/2</f>
        <v>1.988</v>
      </c>
      <c r="G24" s="115">
        <f t="shared" si="5"/>
        <v>1.814</v>
      </c>
      <c r="H24" s="115">
        <f t="shared" si="5"/>
        <v>1.665</v>
      </c>
      <c r="I24" s="115">
        <f t="shared" si="5"/>
        <v>1.508</v>
      </c>
      <c r="J24" s="117">
        <f t="shared" si="5"/>
        <v>1.421</v>
      </c>
    </row>
    <row r="25">
      <c r="C25" s="112"/>
      <c r="D25" s="118" t="s">
        <v>28</v>
      </c>
      <c r="E25" s="114" t="s">
        <v>16</v>
      </c>
      <c r="F25" s="120">
        <v>968.0</v>
      </c>
      <c r="G25" s="120">
        <v>992.0</v>
      </c>
      <c r="H25" s="120">
        <v>970.0</v>
      </c>
      <c r="I25" s="120">
        <v>898.0</v>
      </c>
      <c r="J25" s="121">
        <v>958.0</v>
      </c>
    </row>
    <row r="26">
      <c r="C26" s="112"/>
      <c r="D26" s="42"/>
      <c r="E26" s="122" t="s">
        <v>29</v>
      </c>
      <c r="F26" s="123">
        <v>976.0</v>
      </c>
      <c r="G26" s="123">
        <v>276.0</v>
      </c>
      <c r="H26" s="123">
        <v>197.0</v>
      </c>
      <c r="I26" s="123">
        <v>178.0</v>
      </c>
      <c r="J26" s="124">
        <v>179.0</v>
      </c>
    </row>
    <row r="27">
      <c r="C27" s="112"/>
    </row>
    <row r="28">
      <c r="C28" s="112"/>
    </row>
    <row r="29">
      <c r="C29" s="112"/>
    </row>
    <row r="30">
      <c r="C30" s="112"/>
    </row>
    <row r="31">
      <c r="C31" s="112"/>
    </row>
  </sheetData>
  <mergeCells count="17">
    <mergeCell ref="A5:C5"/>
    <mergeCell ref="E5:G5"/>
    <mergeCell ref="A6:B6"/>
    <mergeCell ref="E6:G8"/>
    <mergeCell ref="A7:B7"/>
    <mergeCell ref="A8:B8"/>
    <mergeCell ref="A9:B9"/>
    <mergeCell ref="D21:D22"/>
    <mergeCell ref="D23:D24"/>
    <mergeCell ref="D25:D26"/>
    <mergeCell ref="A10:B10"/>
    <mergeCell ref="A11:B11"/>
    <mergeCell ref="A12:B12"/>
    <mergeCell ref="D15:D16"/>
    <mergeCell ref="F15:J15"/>
    <mergeCell ref="D17:D18"/>
    <mergeCell ref="D19:D20"/>
  </mergeCells>
  <drawing r:id="rId1"/>
</worksheet>
</file>