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IN SHARMA\Desktop\"/>
    </mc:Choice>
  </mc:AlternateContent>
  <xr:revisionPtr revIDLastSave="0" documentId="13_ncr:1_{0548F501-6BBD-4B54-8506-6F77DBFEDB1E}" xr6:coauthVersionLast="47" xr6:coauthVersionMax="47" xr10:uidLastSave="{00000000-0000-0000-0000-000000000000}"/>
  <bookViews>
    <workbookView xWindow="-108" yWindow="-108" windowWidth="23256" windowHeight="12456" firstSheet="11" activeTab="12" xr2:uid="{7A187278-1D2F-412F-B23C-6C7DF71BCBA7}"/>
  </bookViews>
  <sheets>
    <sheet name="DATA SUMMARY FOR AVG &amp; PEAK DAY" sheetId="1" r:id="rId1"/>
    <sheet name="PRODUCT FLOW (V.V CASE STUDY)" sheetId="8" r:id="rId2"/>
    <sheet name="PRODUCT FLOW WITHIN WAREHOUSE" sheetId="20" r:id="rId3"/>
    <sheet name="DOCK DOOR CALCULATIONS" sheetId="9" r:id="rId4"/>
    <sheet name="MANUFACTURING" sheetId="10" r:id="rId5"/>
    <sheet name="DETAILED LABOR PLAN" sheetId="11" r:id="rId6"/>
    <sheet name="PRICE TICKETS" sheetId="13" r:id="rId7"/>
    <sheet name="SPACE UTILISATION" sheetId="16" r:id="rId8"/>
    <sheet name="MHE " sheetId="15" r:id="rId9"/>
    <sheet name="PROPOSED TECHNOLOGY" sheetId="22" r:id="rId10"/>
    <sheet name="SUGGESTED LAYOUT " sheetId="23" r:id="rId11"/>
    <sheet name="IMPLEMENTATION PLAN " sheetId="24" r:id="rId12"/>
    <sheet name="WAREHOUSE PERFORMANCE INDICATOR" sheetId="27" r:id="rId13"/>
    <sheet name="MAXIMUM CAPACITY OF FACILITY" sheetId="28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8" l="1"/>
  <c r="F27" i="28"/>
  <c r="F24" i="28"/>
  <c r="F21" i="28"/>
  <c r="F17" i="28"/>
  <c r="J27" i="28"/>
  <c r="J32" i="28" s="1"/>
  <c r="F8" i="27"/>
  <c r="E8" i="27"/>
  <c r="E9" i="27"/>
  <c r="D9" i="27"/>
  <c r="C9" i="27"/>
  <c r="F9" i="27" s="1"/>
  <c r="E7" i="27"/>
  <c r="E6" i="27"/>
  <c r="C7" i="27"/>
  <c r="F7" i="27" s="1"/>
  <c r="D7" i="27"/>
  <c r="D5" i="27"/>
  <c r="D6" i="27"/>
  <c r="F6" i="27" s="1"/>
  <c r="C6" i="27"/>
  <c r="E5" i="27"/>
  <c r="C5" i="27"/>
  <c r="F5" i="27" s="1"/>
  <c r="G19" i="11"/>
  <c r="C36" i="13"/>
  <c r="D24" i="13"/>
  <c r="C16" i="13"/>
  <c r="H15" i="11"/>
  <c r="C31" i="16"/>
  <c r="H8" i="24"/>
  <c r="F8" i="24"/>
  <c r="G8" i="24"/>
  <c r="E8" i="24"/>
  <c r="F8" i="22"/>
  <c r="F7" i="22"/>
  <c r="F9" i="22"/>
  <c r="C17" i="13"/>
  <c r="C26" i="16"/>
  <c r="M18" i="15"/>
  <c r="C40" i="15"/>
  <c r="J16" i="15"/>
  <c r="J12" i="15"/>
  <c r="J8" i="15"/>
  <c r="C31" i="15"/>
  <c r="C18" i="15"/>
  <c r="C19" i="15" s="1"/>
  <c r="C23" i="15" s="1"/>
  <c r="C6" i="15"/>
  <c r="C7" i="15" s="1"/>
  <c r="C10" i="15" s="1"/>
  <c r="C11" i="15" s="1"/>
  <c r="F6" i="11"/>
  <c r="G6" i="11" s="1"/>
  <c r="F4" i="11"/>
  <c r="G4" i="11" s="1"/>
  <c r="D35" i="11"/>
  <c r="D30" i="11"/>
  <c r="F5" i="11" s="1"/>
  <c r="G5" i="11" s="1"/>
  <c r="D22" i="11"/>
  <c r="J4" i="13"/>
  <c r="K4" i="13" s="1"/>
  <c r="H5" i="13"/>
  <c r="H6" i="13" s="1"/>
  <c r="H7" i="13" s="1"/>
  <c r="H8" i="13" s="1"/>
  <c r="I5" i="13"/>
  <c r="I6" i="13" s="1"/>
  <c r="I7" i="13" s="1"/>
  <c r="I8" i="13" s="1"/>
  <c r="J8" i="13" s="1"/>
  <c r="D50" i="11"/>
  <c r="F11" i="11"/>
  <c r="G11" i="11" s="1"/>
  <c r="D10" i="11"/>
  <c r="F10" i="11" s="1"/>
  <c r="G10" i="11" s="1"/>
  <c r="D9" i="11"/>
  <c r="F9" i="11" s="1"/>
  <c r="G9" i="11" s="1"/>
  <c r="F8" i="11"/>
  <c r="G8" i="11" s="1"/>
  <c r="C44" i="11"/>
  <c r="D7" i="11"/>
  <c r="F7" i="11" s="1"/>
  <c r="G7" i="11" s="1"/>
  <c r="E22" i="10"/>
  <c r="E24" i="10" s="1"/>
  <c r="E12" i="10"/>
  <c r="E13" i="10" s="1"/>
  <c r="E14" i="10" s="1"/>
  <c r="E15" i="10" s="1"/>
  <c r="E17" i="10" s="1"/>
  <c r="E20" i="10" s="1"/>
  <c r="E4" i="10"/>
  <c r="E5" i="10" s="1"/>
  <c r="E6" i="10" s="1"/>
  <c r="E7" i="10" s="1"/>
  <c r="F51" i="9"/>
  <c r="F49" i="9"/>
  <c r="E49" i="9"/>
  <c r="F46" i="9"/>
  <c r="E46" i="9"/>
  <c r="C49" i="9"/>
  <c r="C46" i="9"/>
  <c r="E41" i="9"/>
  <c r="E38" i="9"/>
  <c r="E37" i="9"/>
  <c r="E36" i="9"/>
  <c r="E28" i="9"/>
  <c r="E29" i="9"/>
  <c r="E30" i="9" s="1"/>
  <c r="E27" i="9"/>
  <c r="E35" i="9"/>
  <c r="F20" i="9"/>
  <c r="F17" i="9"/>
  <c r="F7" i="9"/>
  <c r="F11" i="9"/>
  <c r="F15" i="9"/>
  <c r="E15" i="1"/>
  <c r="G15" i="1" s="1"/>
  <c r="E7" i="1"/>
  <c r="G14" i="1"/>
  <c r="G13" i="1"/>
  <c r="G6" i="1"/>
  <c r="G4" i="1"/>
  <c r="F11" i="22" l="1"/>
  <c r="G12" i="11"/>
  <c r="L4" i="13"/>
  <c r="G11" i="13" s="1"/>
  <c r="J11" i="13" s="1"/>
  <c r="K8" i="13"/>
  <c r="L8" i="13" s="1"/>
  <c r="G15" i="13" s="1"/>
  <c r="H11" i="13"/>
  <c r="C6" i="13" s="1"/>
  <c r="J7" i="13"/>
  <c r="J6" i="13"/>
  <c r="J5" i="13"/>
  <c r="J15" i="13" l="1"/>
  <c r="H15" i="13"/>
  <c r="I15" i="13" s="1"/>
  <c r="I11" i="13"/>
  <c r="K5" i="13"/>
  <c r="L5" i="13" s="1"/>
  <c r="G12" i="13" s="1"/>
  <c r="K6" i="13"/>
  <c r="L6" i="13" s="1"/>
  <c r="G13" i="13" s="1"/>
  <c r="K7" i="13"/>
  <c r="L7" i="13" s="1"/>
  <c r="G14" i="13" s="1"/>
  <c r="J12" i="13" l="1"/>
  <c r="H12" i="13"/>
  <c r="I12" i="13" s="1"/>
  <c r="J13" i="13"/>
  <c r="H13" i="13"/>
  <c r="I13" i="13" s="1"/>
  <c r="J14" i="13"/>
  <c r="H14" i="13"/>
  <c r="I14" i="13" s="1"/>
</calcChain>
</file>

<file path=xl/sharedStrings.xml><?xml version="1.0" encoding="utf-8"?>
<sst xmlns="http://schemas.openxmlformats.org/spreadsheetml/2006/main" count="498" uniqueCount="341">
  <si>
    <t>AVERAGE DAY</t>
  </si>
  <si>
    <t>TYPE</t>
  </si>
  <si>
    <t>UOM</t>
  </si>
  <si>
    <t># OF TRUCKS</t>
  </si>
  <si>
    <t># OF PALLETS</t>
  </si>
  <si>
    <t xml:space="preserve">RAW MATERIALS </t>
  </si>
  <si>
    <t xml:space="preserve">FINISHED GOODS FROM COMNSOLIDATORS </t>
  </si>
  <si>
    <t>FINISHED RAW MATERIALS FROM SMALL DISTRIBUTORS</t>
  </si>
  <si>
    <t>PALLETS</t>
  </si>
  <si>
    <t xml:space="preserve">TOTAL NUMBER OF CASES </t>
  </si>
  <si>
    <t xml:space="preserve">PALLETS </t>
  </si>
  <si>
    <t xml:space="preserve">TOTES </t>
  </si>
  <si>
    <t>TOTES</t>
  </si>
  <si>
    <t xml:space="preserve">CASES </t>
  </si>
  <si>
    <t>PEAK DAY</t>
  </si>
  <si>
    <t>AVG # OF CASES PER PALLET</t>
  </si>
  <si>
    <t>PICKING</t>
  </si>
  <si>
    <t>PRODUCT FLOW</t>
  </si>
  <si>
    <t>RAW MATERIALS RECEIVE IN WAREHOUSE</t>
  </si>
  <si>
    <t xml:space="preserve">MANUFACTURING </t>
  </si>
  <si>
    <t>ORDER FULFILLMENT (PRODUCTION LINES)</t>
  </si>
  <si>
    <t xml:space="preserve">FINISHED PRODUCTS RECEIVING WAREHOUSE  </t>
  </si>
  <si>
    <t>ORDER FULFILLMENT (WMS)</t>
  </si>
  <si>
    <t xml:space="preserve">PRICE TICKETING </t>
  </si>
  <si>
    <t xml:space="preserve">SHIPPING WAREHOUSE </t>
  </si>
  <si>
    <t>FINISHED PRODUCTS (SMALL LOCAL VENDORS)</t>
  </si>
  <si>
    <t xml:space="preserve">MATERIALS </t>
  </si>
  <si>
    <t xml:space="preserve">DOCKS </t>
  </si>
  <si>
    <t>SHIPPING</t>
  </si>
  <si>
    <t>https://www.freightpros.com/blog/standard-pallet-size/</t>
  </si>
  <si>
    <t>DOCK DOOR CALCULATIONS</t>
  </si>
  <si>
    <t>RECEIVING</t>
  </si>
  <si>
    <t>AVG NO OF TRUCKS PER DAY</t>
  </si>
  <si>
    <t>AVG DAY</t>
  </si>
  <si>
    <t>UNLOADING TIME (Hrs / 2 employee)</t>
  </si>
  <si>
    <t>TOTAL NUMBER OF HOURS NEEDED TO UNLOAD THE TRUCKS</t>
  </si>
  <si>
    <t xml:space="preserve">FINISHED GOODS FROM CONSOLIDATORS </t>
  </si>
  <si>
    <t xml:space="preserve">FINISHED GOODS FROM SMALL VENDORS </t>
  </si>
  <si>
    <t xml:space="preserve">NUMBER OF DOCK DOORS REQUIRED FOR RECEIVING = </t>
  </si>
  <si>
    <t xml:space="preserve">TOTAL </t>
  </si>
  <si>
    <t>HRS</t>
  </si>
  <si>
    <t>.= APPROXIMATELY 3 DOCK DOORS ARE REQUIRED FOR RECEIVING.</t>
  </si>
  <si>
    <t xml:space="preserve">AT PEAK </t>
  </si>
  <si>
    <t xml:space="preserve">YEAR 1: </t>
  </si>
  <si>
    <t xml:space="preserve">PIECES SOLD / DAY = </t>
  </si>
  <si>
    <t>YEAR 2:</t>
  </si>
  <si>
    <t>PIECES SOLD /DAY =</t>
  </si>
  <si>
    <t>YEAR 3:</t>
  </si>
  <si>
    <t>YEAR 4:</t>
  </si>
  <si>
    <t xml:space="preserve">YEAR 5: </t>
  </si>
  <si>
    <t xml:space="preserve">STORE SALES </t>
  </si>
  <si>
    <t>CONVERT THIS INTO PALLETS. (AVG NUMBER OF TOTES PER PALLET = 66) =</t>
  </si>
  <si>
    <t>PROJECTED SALES ( STORE SALES ) FOR 5 YEARS</t>
  </si>
  <si>
    <t>PROJECTED SALES ( DIRECTLY TO CUSTOMER ) FOR 5 YEARS</t>
  </si>
  <si>
    <t>PROJECTED SALES FOR YEAR 5</t>
  </si>
  <si>
    <t>PIECES PER DAY</t>
  </si>
  <si>
    <t># TOTES IN A TRUCK</t>
  </si>
  <si>
    <t># OF TRUCKS REQUIRED</t>
  </si>
  <si>
    <t xml:space="preserve">DIRECT CUSTOMER </t>
  </si>
  <si>
    <t xml:space="preserve">ASSUMPTION: </t>
  </si>
  <si>
    <t>AVERAGE NUMBER OF TOTES IN A TRUCK = 600</t>
  </si>
  <si>
    <t>PALLETS PER DAY</t>
  </si>
  <si>
    <t># OF PALLETS IN TRUCK</t>
  </si>
  <si>
    <t># NO OF TRUCKS REQUIRED</t>
  </si>
  <si>
    <t># DOCKS NEEDED</t>
  </si>
  <si>
    <t># DOCK NEEDED</t>
  </si>
  <si>
    <t>TOTAL</t>
  </si>
  <si>
    <t xml:space="preserve">TOTAL NUMBER OF DOCK DOORS REQUIRED </t>
  </si>
  <si>
    <t xml:space="preserve">  =</t>
  </si>
  <si>
    <t>7+3 = 10</t>
  </si>
  <si>
    <t>MANUFACTURING</t>
  </si>
  <si>
    <t xml:space="preserve">TOTAL UNIT SOLD PER DAY = </t>
  </si>
  <si>
    <t>TOTAL UNITS THAT NEEDS TO BE MANUFACTURED = 33% OF TOTAL UNITS SOLD</t>
  </si>
  <si>
    <t>CURRENTLY THEY HAVE TWO LINES WHICH CAN MANUFACTURE =</t>
  </si>
  <si>
    <t>UNITS PER DAY</t>
  </si>
  <si>
    <t xml:space="preserve">ADDING ONE HIGH SPEED WILL INCREASE THE CAPACITY BY: </t>
  </si>
  <si>
    <t xml:space="preserve">COST OF ADDING NEW HIGH SPEED LINE: </t>
  </si>
  <si>
    <t>$1000,000.00</t>
  </si>
  <si>
    <t xml:space="preserve">SPACE REQUIREMENT: </t>
  </si>
  <si>
    <t>VOLUME</t>
  </si>
  <si>
    <t>TOTAL MAN HOURS</t>
  </si>
  <si>
    <t>DETAILED LABOUR PLAN</t>
  </si>
  <si>
    <t>PUT-AWAY</t>
  </si>
  <si>
    <t>RECEIVING RAW MATERIALS</t>
  </si>
  <si>
    <t>RECEIVING FINISHED GOODS FROM CONSOLIDATORS</t>
  </si>
  <si>
    <t>FINISHED GOODS FROM CONSOLIDATORS</t>
  </si>
  <si>
    <t xml:space="preserve">RAW MATERIALS  </t>
  </si>
  <si>
    <t>PALLETS :</t>
  </si>
  <si>
    <t>EMPLOYEE NEEDED:</t>
  </si>
  <si>
    <t>TOTAL MAN HOURS CALCULATIONS</t>
  </si>
  <si>
    <t>PALLETS:</t>
  </si>
  <si>
    <t>EMPLOYEES NEEDED FOR UNLOADING:</t>
  </si>
  <si>
    <t>FINISHED GOODS FROM SMALL DISTRIBUTOR</t>
  </si>
  <si>
    <t>RECEIVING FINISHED GOODS FROM SMALL DISTRIBUTOR (BUILDING PALLETS FROM TOTES)</t>
  </si>
  <si>
    <t>FTE's Mhr/7</t>
  </si>
  <si>
    <t>DIRECT CUSTOMER ORDERS:</t>
  </si>
  <si>
    <t>TOTAL ORDER'S PLACED                                              (DIRECT STORE SALES, PEAK DAY)</t>
  </si>
  <si>
    <t>TOTAL ORDERS TO BE SHIPPED PER DAY:</t>
  </si>
  <si>
    <t>STD PRODUCTIVITY  (PER HOUR)</t>
  </si>
  <si>
    <t>CONSOLIDATION (PALLET BUILDING SHIPPING)</t>
  </si>
  <si>
    <t>SHIPPING STORE REPLENISHMENT ORDERS</t>
  </si>
  <si>
    <t xml:space="preserve">DIRECT CUSTOMER SALES </t>
  </si>
  <si>
    <t xml:space="preserve">ACTIVITY </t>
  </si>
  <si>
    <t>SHIPPING (STORE REPLENISHMENT ORDERS)</t>
  </si>
  <si>
    <t>SHIPPING (DIRECT CUSTOMER ORDERS)</t>
  </si>
  <si>
    <t xml:space="preserve">EQUIPMENT - SET UP COST </t>
  </si>
  <si>
    <t xml:space="preserve">OPERATIONAL COST </t>
  </si>
  <si>
    <t>NUMBER OF EMPLOYEE REQUIRED:</t>
  </si>
  <si>
    <t>PRICE TICKETING</t>
  </si>
  <si>
    <t>WAGE (PER HR):</t>
  </si>
  <si>
    <t>OPERATIONAL HOURS:</t>
  </si>
  <si>
    <t>CURRENT PLAN:</t>
  </si>
  <si>
    <t>SOFTWARE INTEGRATION (WMS)</t>
  </si>
  <si>
    <t>TOTAL NUMBER OF BOTTLES TO BE RETICKED:</t>
  </si>
  <si>
    <t>YEAR 1</t>
  </si>
  <si>
    <t>DIRECT CONSUMER SALES</t>
  </si>
  <si>
    <t>YEAR 2</t>
  </si>
  <si>
    <t>YEAR 4</t>
  </si>
  <si>
    <t>YEAR 5</t>
  </si>
  <si>
    <t>YEAR 3</t>
  </si>
  <si>
    <t>STORE RETAIL SALES</t>
  </si>
  <si>
    <t xml:space="preserve">VITAL BRAND UNITS </t>
  </si>
  <si>
    <t>NO OF UNITS THAT NEEDS TO BE TICKETED (DCS EXCLUDED)</t>
  </si>
  <si>
    <t xml:space="preserve">TICKETING PER MONTH REQUIREMENT </t>
  </si>
  <si>
    <t xml:space="preserve">TICKETING YEARLY REQUIREMENT </t>
  </si>
  <si>
    <t>COST OF TICKETING PER UNIT</t>
  </si>
  <si>
    <t xml:space="preserve">UNITS THAT NEEDS TO BE  RE - TICKETING </t>
  </si>
  <si>
    <t>TOTAL COST OF EMPLOYEE PER DAY</t>
  </si>
  <si>
    <t>TOTAL COST OF EMPLOYEE PER YEAR</t>
  </si>
  <si>
    <t xml:space="preserve">SPACE REQUIREMENT </t>
  </si>
  <si>
    <t xml:space="preserve">SPACE  </t>
  </si>
  <si>
    <t>COST</t>
  </si>
  <si>
    <t>TOTAL COST</t>
  </si>
  <si>
    <t>TOTAL MAN HOURS NEEDED</t>
  </si>
  <si>
    <t>UNLOADING TIME(Hrs):</t>
  </si>
  <si>
    <t>TRUCK PER DAY</t>
  </si>
  <si>
    <t>CALCULATIONS:</t>
  </si>
  <si>
    <t>TOTAL MAN Hrs</t>
  </si>
  <si>
    <t xml:space="preserve"> = 1.2TRUCKS/DAY x 1HOUR/TRUCK x 2EMPLOYEES</t>
  </si>
  <si>
    <t xml:space="preserve"> = 5 TRUCKS/DAY x 1 Hr/TRUCK x 2 EMPLOYEE</t>
  </si>
  <si>
    <t>TRUCKS PER DAY:</t>
  </si>
  <si>
    <t>UNLOADING TIME(Hrs) :</t>
  </si>
  <si>
    <t>TOTES:</t>
  </si>
  <si>
    <t xml:space="preserve"> = 3TRUCKS/DAY x 2.5Hrs/TRUCK x 2 EMPLOYEE</t>
  </si>
  <si>
    <r>
      <rPr>
        <b/>
        <sz val="13"/>
        <color theme="1"/>
        <rFont val="Times New Roman"/>
        <family val="1"/>
      </rPr>
      <t>NOTE:</t>
    </r>
    <r>
      <rPr>
        <b/>
        <sz val="13"/>
        <color theme="1" tint="4.9989318521683403E-2"/>
        <rFont val="Times New Roman"/>
        <family val="1"/>
      </rPr>
      <t xml:space="preserve"> </t>
    </r>
    <r>
      <rPr>
        <b/>
        <sz val="13"/>
        <color rgb="FFFF0000"/>
        <rFont val="Times New Roman"/>
        <family val="1"/>
      </rPr>
      <t>RECEIVING AN BE SCHEDULED FOR SPECIFIC TIMES BETWEEN MONDAY AND FRIDAY, BUT ONLY BETWEEN 8AM TO 3PM.</t>
    </r>
  </si>
  <si>
    <r>
      <rPr>
        <b/>
        <sz val="13"/>
        <color theme="1"/>
        <rFont val="Times New Roman"/>
        <family val="1"/>
      </rPr>
      <t>ASSUMPTION:</t>
    </r>
    <r>
      <rPr>
        <sz val="13"/>
        <color theme="1"/>
        <rFont val="Times New Roman"/>
        <family val="1"/>
      </rPr>
      <t xml:space="preserve"> </t>
    </r>
    <r>
      <rPr>
        <b/>
        <sz val="13"/>
        <color rgb="FFFF0000"/>
        <rFont val="Times New Roman"/>
        <family val="1"/>
      </rPr>
      <t>STD PROD FOR CONVERTING TOTES INTO PALLETS IS 10 PALLETS PER HOUR.</t>
    </r>
  </si>
  <si>
    <r>
      <rPr>
        <b/>
        <sz val="13"/>
        <color theme="1"/>
        <rFont val="Times New Roman"/>
        <family val="1"/>
      </rPr>
      <t>NOTE:</t>
    </r>
    <r>
      <rPr>
        <sz val="13"/>
        <color theme="1"/>
        <rFont val="Times New Roman"/>
        <family val="1"/>
      </rPr>
      <t xml:space="preserve"> </t>
    </r>
    <r>
      <rPr>
        <b/>
        <sz val="13"/>
        <color rgb="FFFF0000"/>
        <rFont val="Times New Roman"/>
        <family val="1"/>
      </rPr>
      <t>STORE ORDERS ARE SHIPPED IN PALLETS</t>
    </r>
    <r>
      <rPr>
        <sz val="13"/>
        <color theme="1"/>
        <rFont val="Times New Roman"/>
        <family val="1"/>
      </rPr>
      <t>.</t>
    </r>
  </si>
  <si>
    <r>
      <rPr>
        <b/>
        <sz val="13"/>
        <color theme="1"/>
        <rFont val="Times New Roman"/>
        <family val="1"/>
      </rPr>
      <t>NOTE</t>
    </r>
    <r>
      <rPr>
        <sz val="13"/>
        <color theme="1"/>
        <rFont val="Times New Roman"/>
        <family val="1"/>
      </rPr>
      <t xml:space="preserve">: </t>
    </r>
    <r>
      <rPr>
        <b/>
        <sz val="13"/>
        <color rgb="FFFF0000"/>
        <rFont val="Times New Roman"/>
        <family val="1"/>
      </rPr>
      <t>DIRECT CUSTOMER ORDERS ARE SHIPPED IN TOTES</t>
    </r>
    <r>
      <rPr>
        <sz val="13"/>
        <color theme="1"/>
        <rFont val="Times New Roman"/>
        <family val="1"/>
      </rPr>
      <t xml:space="preserve"> .</t>
    </r>
  </si>
  <si>
    <t>DESCRIPTION</t>
  </si>
  <si>
    <t>EQUIPMENT SELECTION</t>
  </si>
  <si>
    <t xml:space="preserve">TOTAL NUMBER OF PALLETS TO BE RECEIVED </t>
  </si>
  <si>
    <t>FORKLIFTS</t>
  </si>
  <si>
    <t>FINSIHED GOODS FROM CONSOLIDATORS</t>
  </si>
  <si>
    <t>FINSIHED GOODS FROM SMALL VENDORS</t>
  </si>
  <si>
    <t>FORKLIFT STANDARD PRODUCTIVITY</t>
  </si>
  <si>
    <t>15 PALLETS PER HOUR</t>
  </si>
  <si>
    <t xml:space="preserve">PALLETS TO BE MOVED PER HOUR </t>
  </si>
  <si>
    <t xml:space="preserve">NUMBER OF FORKLIFTS REQUIRED FOR RECEIVING </t>
  </si>
  <si>
    <t xml:space="preserve">APPROXIMATELY 3 FORKLIFTS ARE REQUIRED FOR RECEIVING </t>
  </si>
  <si>
    <t>PUTAWAY</t>
  </si>
  <si>
    <t xml:space="preserve">TOTAL NUMBER OF PALLETS TO BE PUTAWAY </t>
  </si>
  <si>
    <r>
      <rPr>
        <b/>
        <sz val="11"/>
        <color rgb="FFFF0000"/>
        <rFont val="Calibri"/>
        <family val="2"/>
        <scheme val="minor"/>
      </rPr>
      <t>NOTE</t>
    </r>
    <r>
      <rPr>
        <b/>
        <sz val="11"/>
        <color theme="1"/>
        <rFont val="Calibri"/>
        <family val="2"/>
        <scheme val="minor"/>
      </rPr>
      <t>: RECEIVING CAN BE DONE FROM 8:00 AM TO 3:00 OM ONLY.</t>
    </r>
  </si>
  <si>
    <t xml:space="preserve">NUMBER OF FORKLIFTS REQUIRED FOR PUTAWAY: </t>
  </si>
  <si>
    <t>FORKLIFT STANDARD PRODUCTIVITY:</t>
  </si>
  <si>
    <t>STAGING</t>
  </si>
  <si>
    <t xml:space="preserve">EQUIPMENT USED: </t>
  </si>
  <si>
    <t>PALLET JACKS</t>
  </si>
  <si>
    <t xml:space="preserve">STANDARD PRODUCTIVITY </t>
  </si>
  <si>
    <t xml:space="preserve">TOTAL PALLETS TO BE STAGED: </t>
  </si>
  <si>
    <t xml:space="preserve">NO OF PALLET JACK REQUIRED: </t>
  </si>
  <si>
    <t>15 PALLETS /HOUR</t>
  </si>
  <si>
    <t>APPROXIMATELY 9 PALLET JACKS ARE REQUIRED:</t>
  </si>
  <si>
    <t>20 PALLETS/Hr</t>
  </si>
  <si>
    <t>APPROXIMATELY 7 FORKLIFTS ARE REQUIRED FOR PUT-AWAY</t>
  </si>
  <si>
    <t>COST OF EQUIPMETNS</t>
  </si>
  <si>
    <t>EQUIPMENT</t>
  </si>
  <si>
    <t>COST OF 1 FORKLIFTS</t>
  </si>
  <si>
    <t>TOTAL NO OF FORKLIFTS REQUIRED</t>
  </si>
  <si>
    <t>TOTAL COST OF FORKLIFTS</t>
  </si>
  <si>
    <t>PALLET JACK</t>
  </si>
  <si>
    <t>COST OF 1 PALLET JACK</t>
  </si>
  <si>
    <t>TOTAL NO OF PALLET JACKS REQUIRED</t>
  </si>
  <si>
    <t>TOTAL COST OF PALLET JACKS</t>
  </si>
  <si>
    <t>DOCK LEVELERS</t>
  </si>
  <si>
    <t>COST OF DOCK LEVELERS</t>
  </si>
  <si>
    <t xml:space="preserve">TOTAL NO OF DOCKS </t>
  </si>
  <si>
    <t>TOTAL NO OF DOCK LEVELERS REQUIRED</t>
  </si>
  <si>
    <t>EQUIPMENT SPECIFICATIONS</t>
  </si>
  <si>
    <t>FORKLIFT</t>
  </si>
  <si>
    <t>CAPACITY</t>
  </si>
  <si>
    <t>LIFT HEIGHT</t>
  </si>
  <si>
    <t>20'</t>
  </si>
  <si>
    <t>2500 Lbs</t>
  </si>
  <si>
    <t>AISLE WIDTH</t>
  </si>
  <si>
    <t>7Ft</t>
  </si>
  <si>
    <t>FORK SIZE</t>
  </si>
  <si>
    <t>WT</t>
  </si>
  <si>
    <t>PRICE</t>
  </si>
  <si>
    <t>LONG</t>
  </si>
  <si>
    <t>60x27''</t>
  </si>
  <si>
    <t>5500Lbs</t>
  </si>
  <si>
    <t>$955</t>
  </si>
  <si>
    <t>3+</t>
  </si>
  <si>
    <t>$915 /UNIT</t>
  </si>
  <si>
    <t>https://hofequipment.com/Vestil-RR-78-20-Mechanical-Dock-Leveler-p1061.html?gad_source=1&amp;gclid=CjwKCAiAmZGrBhAnEiwAo9qHiamqC8f9SpIz4YSbKUiwn-UJHJ_iDHvgs3gOT60VGVhaiG3AMPL0rxoCTvwQAvD_BwE</t>
  </si>
  <si>
    <t>20000Lbs - 50000Lbs</t>
  </si>
  <si>
    <t>SIZE</t>
  </si>
  <si>
    <t>7'W x 8'4'' L</t>
  </si>
  <si>
    <t>MATERIAL</t>
  </si>
  <si>
    <t>STEEL SHELL</t>
  </si>
  <si>
    <t>MODEL</t>
  </si>
  <si>
    <t>RR-78</t>
  </si>
  <si>
    <t xml:space="preserve">SPACE UTILISATION </t>
  </si>
  <si>
    <t>MANUFACTURING AREA</t>
  </si>
  <si>
    <t>4,000 ft2for Vital Brand™ manufacturing</t>
  </si>
  <si>
    <t xml:space="preserve">CONCLUSION:  WE NEED TO ADD ONE MORE LINE TO MEET THE PER DAY DEMAND OF FACILITY FOR THE 5TH YEAR. </t>
  </si>
  <si>
    <t>The new line
will require an additional 3,000 ft2 of manufacturing space.</t>
  </si>
  <si>
    <t>OTHER AREAS</t>
  </si>
  <si>
    <t xml:space="preserve">RESTROOM </t>
  </si>
  <si>
    <t>PARKING</t>
  </si>
  <si>
    <t>SHIPPING &amp; RECEIVING</t>
  </si>
  <si>
    <t>TICKETING</t>
  </si>
  <si>
    <t xml:space="preserve">INVENTORY STORAGE </t>
  </si>
  <si>
    <t>INVENTORY STORAGE CALCULATION</t>
  </si>
  <si>
    <t>CORPORATE OFFICE</t>
  </si>
  <si>
    <t>AREA REQUIREMENT</t>
  </si>
  <si>
    <t>TOTAL SPACE REQUIREMENT:</t>
  </si>
  <si>
    <t>4000 ft2 +3000 ft2 = 7000ft2</t>
  </si>
  <si>
    <t xml:space="preserve">AREA REQUIREMENT </t>
  </si>
  <si>
    <t>TOTAL AREA REQUIRED FOR INVENTORY STORAGE</t>
  </si>
  <si>
    <t>4000ft2</t>
  </si>
  <si>
    <t>$50 /ft2</t>
  </si>
  <si>
    <t>TOTAL COST:- = 4000*50 = $20,000</t>
  </si>
  <si>
    <r>
      <rPr>
        <b/>
        <sz val="13"/>
        <color theme="1"/>
        <rFont val="Times New Roman"/>
        <family val="1"/>
      </rPr>
      <t xml:space="preserve">NOTE:  </t>
    </r>
    <r>
      <rPr>
        <sz val="13"/>
        <color theme="1"/>
        <rFont val="Times New Roman"/>
        <family val="1"/>
      </rPr>
      <t>RECEIVING CAN BE DONE FROM 8:00 AM TO 3:00 PM. THAT MEANS WE HAVE 7 HOURS TO UNLOAD ALL THE TRUCKS WE RECEIVE.</t>
    </r>
  </si>
  <si>
    <t xml:space="preserve">TOTAL PALLETS IN DOUBLE DEEP RACK:16x2 </t>
  </si>
  <si>
    <t>BEAM LENGTH = 12'ft</t>
  </si>
  <si>
    <t>PALLET LOAD HEIGHT = 5ft</t>
  </si>
  <si>
    <t>AISLE WIDTH + SIDEWALK = 14ft "+2ft = 16ft</t>
  </si>
  <si>
    <t>PALLET LOAD DEEP =  48"+48" = 96"=8ft</t>
  </si>
  <si>
    <t>FOR A SET UP: Y = 16 (AISLE WIDTH+SIDEWALK) + 8ft (PALLET LOAD DEEP IN ft) = 24ft</t>
  </si>
  <si>
    <t>TOTAL PALLETS THAT NEEDS TO BE STORED = 6264</t>
  </si>
  <si>
    <t>TOTAL NUMBER OF DOUBLE DEEP RACKS REQUIRED= (TOTAL NUMBER OF PALLETS TO BE STORED / CAPACITY OF DOUBLE DEEP RACKS)</t>
  </si>
  <si>
    <t>TOTAL NUMBER OF DOUBLE DEEP RACKS REQUIRED = 6264/32 = 201 APPROXIMATELY.</t>
  </si>
  <si>
    <t>NOW, CONSIDER THE Y-AXIS AND Z-AXIS TO CALCULATE AREA REQUIRED FOR 50 DOUBLE-DEEP RACKS. Y=144x50=7200ft, AND Y=260x4 =1040ft.                                                                                                                                                                                                                                                                                             TOTAL AREA REQUIRED: 7200*1040 = 52000sqft</t>
  </si>
  <si>
    <t>150ft2</t>
  </si>
  <si>
    <r>
      <rPr>
        <b/>
        <sz val="20"/>
        <color theme="1"/>
        <rFont val="Times New Roman"/>
        <family val="1"/>
      </rPr>
      <t>NOTE</t>
    </r>
    <r>
      <rPr>
        <sz val="20"/>
        <color theme="1"/>
        <rFont val="Times New Roman"/>
        <family val="1"/>
      </rPr>
      <t>: T</t>
    </r>
    <r>
      <rPr>
        <b/>
        <sz val="20"/>
        <color rgb="FFFF0000"/>
        <rFont val="Times New Roman"/>
        <family val="1"/>
      </rPr>
      <t>HE AREA FOR INVENTORY STORAGE INCLUDES FINISHED GOODS AND RAW MATERIALS. THE FOLLOWING VALUES ARE BASED ON ASSUMPTIONS:</t>
    </r>
  </si>
  <si>
    <t>TOTAL SPACE REQUIREMENT (ft2)</t>
  </si>
  <si>
    <t>CAFÉ</t>
  </si>
  <si>
    <t>500ft2</t>
  </si>
  <si>
    <t xml:space="preserve">STORAGE EQUIPMENT </t>
  </si>
  <si>
    <t>DOUBLE DEEP RACKS</t>
  </si>
  <si>
    <t xml:space="preserve">QUANTITY </t>
  </si>
  <si>
    <t>COST / UNIT</t>
  </si>
  <si>
    <t>COST OF DOUBLE DEEP RACKS</t>
  </si>
  <si>
    <t xml:space="preserve">TOTAL: </t>
  </si>
  <si>
    <r>
      <t>3000ft</t>
    </r>
    <r>
      <rPr>
        <b/>
        <vertAlign val="superscript"/>
        <sz val="11"/>
        <color theme="0"/>
        <rFont val="Times New Roman"/>
        <family val="1"/>
      </rPr>
      <t>2</t>
    </r>
  </si>
  <si>
    <t>53000ft2</t>
  </si>
  <si>
    <t>13000ft2</t>
  </si>
  <si>
    <t>25,000ft2</t>
  </si>
  <si>
    <t>RACK HEIGHT = 30ft</t>
  </si>
  <si>
    <t>COST OF RETICKETING:  466541 * (1000000/16965144) = $27499.97829</t>
  </si>
  <si>
    <t>$350,000</t>
  </si>
  <si>
    <t xml:space="preserve">TOTAL COST OF TICKETING: </t>
  </si>
  <si>
    <t>$20/Hr</t>
  </si>
  <si>
    <t xml:space="preserve">COST OF SPACE IS $50 PER SQAURE FEET. </t>
  </si>
  <si>
    <t xml:space="preserve">CONCLUSION: SINCE THE TICKETING AND RE-TICKETING COST IS LESS THAN $1M, WE WILL SHIFT THE TICKETING PROCESS IN THE WAREHJOUSE. </t>
  </si>
  <si>
    <t>Warehouse Management System (WMS)</t>
  </si>
  <si>
    <t>A WMS is an essential tool for any warehouse, and it is especially important for a company like Vital Vitamins that has a complex supply chain and a wide variety of products. A WMS can help Vital Vitamins to:</t>
  </si>
  <si>
    <t>Track inventory levels in real time</t>
  </si>
  <si>
    <t>Optimize picking and packing processes</t>
  </si>
  <si>
    <t>Manage shipping and receiving</t>
  </si>
  <si>
    <t>Generate reports on warehouse performance</t>
  </si>
  <si>
    <t>TIER 1 - WMS</t>
  </si>
  <si>
    <t xml:space="preserve">EQUIPMENT </t>
  </si>
  <si>
    <t>QTY</t>
  </si>
  <si>
    <t>COST/UNIT</t>
  </si>
  <si>
    <t>VOICE BASED PICKING SYSTEM</t>
  </si>
  <si>
    <t>N/A</t>
  </si>
  <si>
    <t>RFID SCANNERS</t>
  </si>
  <si>
    <t>PROPOSED TECHNMOLOGY SOLUTION</t>
  </si>
  <si>
    <t>RFID PRINTERS</t>
  </si>
  <si>
    <t xml:space="preserve">PARKING </t>
  </si>
  <si>
    <t xml:space="preserve">RECEIVING </t>
  </si>
  <si>
    <t>CAFETERIA</t>
  </si>
  <si>
    <t>RESTROOM</t>
  </si>
  <si>
    <t xml:space="preserve">CORPORATE OFFICE </t>
  </si>
  <si>
    <t>FINISHED GOODS</t>
  </si>
  <si>
    <t>NEARBY CUSTOMER PARKING</t>
  </si>
  <si>
    <t>OUTLET STORE</t>
  </si>
  <si>
    <t>U-SHAPE FLOW WITHIN PROCESS DEPARTMENTS</t>
  </si>
  <si>
    <t>TICKET OPERATION</t>
  </si>
  <si>
    <t>INVENTORY</t>
  </si>
  <si>
    <t>RECEIVING &amp; SHIPPING</t>
  </si>
  <si>
    <t>FTE's</t>
  </si>
  <si>
    <t>3 MANUFACTURING LNES</t>
  </si>
  <si>
    <t xml:space="preserve">IN-FACILITY PRICE TICKET </t>
  </si>
  <si>
    <t xml:space="preserve">STORAGE </t>
  </si>
  <si>
    <t>10 FORKLIFTS, 9 PALLET JACKS, AND 10 DOCK LEVELERS</t>
  </si>
  <si>
    <t>AREA REQUIRED</t>
  </si>
  <si>
    <t>7000ft2</t>
  </si>
  <si>
    <t>52000ft2</t>
  </si>
  <si>
    <t>LOADING AND SHIPPING</t>
  </si>
  <si>
    <t>1400ft2 APPROX</t>
  </si>
  <si>
    <t xml:space="preserve">COST </t>
  </si>
  <si>
    <t>$1M</t>
  </si>
  <si>
    <t>EXTRA SPACE FOR FUTURE EXPANSION (ft2)</t>
  </si>
  <si>
    <t>TOTAL COST OF LABOR:</t>
  </si>
  <si>
    <t>$200,000</t>
  </si>
  <si>
    <t xml:space="preserve">REDUCES THE COST BY: </t>
  </si>
  <si>
    <t>%</t>
  </si>
  <si>
    <t>ASSUMPTION</t>
  </si>
  <si>
    <t>COST OF LABOR IS $20/HR</t>
  </si>
  <si>
    <t>ASSUMPTION:</t>
  </si>
  <si>
    <t>THE COSTS ARE CALCULATED WITH VALUES OBTAINED FROM THE INTERNET AND TEXTBOOKS.</t>
  </si>
  <si>
    <t>AREA REQUIREMENTS ARE BASED ON ASSUMPTION FROM VALUE OBTAINED FROM INETRNET.</t>
  </si>
  <si>
    <t>INBOUND ACTIVITIES</t>
  </si>
  <si>
    <t>LABOR COST</t>
  </si>
  <si>
    <t>SPACE COST</t>
  </si>
  <si>
    <t>MHE COST</t>
  </si>
  <si>
    <t>UNLOADING</t>
  </si>
  <si>
    <t>INSPECTION</t>
  </si>
  <si>
    <t>WAREHOUSE PERFORMANCE INDICATOR</t>
  </si>
  <si>
    <t>TOTAL SPACE - UNUSABLE SPACE</t>
  </si>
  <si>
    <t>TOTAL SPACE=</t>
  </si>
  <si>
    <t>173000ft2</t>
  </si>
  <si>
    <t>UNUSABLE SPACE CALCULATION</t>
  </si>
  <si>
    <t>USABLE SPACE =</t>
  </si>
  <si>
    <t>SPACE (ft2)</t>
  </si>
  <si>
    <t>ADDITIONAL AREA</t>
  </si>
  <si>
    <t>TOTAL =</t>
  </si>
  <si>
    <t>TOTAL USABLE SPACE (ft2)</t>
  </si>
  <si>
    <t>STACKING HEIGHT</t>
  </si>
  <si>
    <t>30ft</t>
  </si>
  <si>
    <t xml:space="preserve">TOTAL CUBIC AREA FOR STORAGE: </t>
  </si>
  <si>
    <t>CUBIC FEET</t>
  </si>
  <si>
    <t>PALLETS DIM:</t>
  </si>
  <si>
    <t>48*48*60</t>
  </si>
  <si>
    <t>VOLUME OF 1 PALLET</t>
  </si>
  <si>
    <t>TOTAL NUMBER OF PALLETS THAT CAN BE POTENTIALLY STORED =</t>
  </si>
  <si>
    <t xml:space="preserve">CONCLUSION: THE CURRENT NUMBER OF DOCK DOORS (12) IS SUFFICIENT TO FULFILL THE DEMAND OF THE FACILITY. </t>
  </si>
  <si>
    <t>TOTAL=14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</si>
</sst>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_-[$$-409]* #,##0.000000_ ;_-[$$-409]* \-#,##0.000000\ ;_-[$$-409]* &quot;-&quot;??_ ;_-@_ "/>
    <numFmt numFmtId="166" formatCode="_-[$$-409]* #,##0.00000000_ ;_-[$$-409]* \-#,##0.00000000\ ;_-[$$-409]* &quot;-&quot;??_ ;_-@_ 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5"/>
      <color theme="1"/>
      <name val="Times New Roman"/>
      <family val="1"/>
    </font>
    <font>
      <b/>
      <sz val="15"/>
      <color theme="0"/>
      <name val="Times New Roman"/>
      <family val="1"/>
    </font>
    <font>
      <b/>
      <sz val="15"/>
      <color theme="1" tint="4.9989318521683403E-2"/>
      <name val="Times New Roman"/>
      <family val="1"/>
    </font>
    <font>
      <b/>
      <sz val="40"/>
      <color theme="0"/>
      <name val="Times New Roman"/>
      <family val="1"/>
    </font>
    <font>
      <sz val="40"/>
      <color theme="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20"/>
      <color theme="0"/>
      <name val="Times New Roman"/>
      <family val="1"/>
    </font>
    <font>
      <sz val="20"/>
      <color theme="0"/>
      <name val="Times New Roman"/>
      <family val="1"/>
    </font>
    <font>
      <sz val="20"/>
      <color theme="1"/>
      <name val="Times New Roman"/>
      <family val="1"/>
    </font>
    <font>
      <b/>
      <sz val="55"/>
      <color theme="1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5"/>
      <color theme="0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3"/>
      <color theme="1"/>
      <name val="Calibri"/>
      <family val="2"/>
      <scheme val="minor"/>
    </font>
    <font>
      <sz val="13"/>
      <color theme="0"/>
      <name val="Times New Roman"/>
      <family val="1"/>
    </font>
    <font>
      <sz val="12"/>
      <color theme="4" tint="-0.499984740745262"/>
      <name val="Times New Roman"/>
      <family val="1"/>
    </font>
    <font>
      <sz val="25"/>
      <color theme="0"/>
      <name val="Times New Roman"/>
      <family val="1"/>
    </font>
    <font>
      <sz val="11"/>
      <color rgb="FFFF0000"/>
      <name val="Calibri"/>
      <family val="2"/>
      <scheme val="minor"/>
    </font>
    <font>
      <b/>
      <sz val="13"/>
      <color theme="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theme="1" tint="4.9989318521683403E-2"/>
      <name val="Times New Roman"/>
      <family val="1"/>
    </font>
    <font>
      <b/>
      <sz val="13"/>
      <color rgb="FFFF0000"/>
      <name val="Times New Roman"/>
      <family val="1"/>
    </font>
    <font>
      <b/>
      <sz val="14"/>
      <color theme="1"/>
      <name val="Times New Roman"/>
      <family val="1"/>
    </font>
    <font>
      <sz val="17"/>
      <color theme="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0"/>
      <name val="Times New Roman"/>
      <family val="1"/>
    </font>
    <font>
      <b/>
      <sz val="20"/>
      <color theme="1"/>
      <name val="Times New Roman"/>
      <family val="1"/>
    </font>
    <font>
      <sz val="30"/>
      <color theme="1"/>
      <name val="Times New Roman"/>
      <family val="1"/>
    </font>
    <font>
      <sz val="13"/>
      <color rgb="FFFF0000"/>
      <name val="Times New Roman"/>
      <family val="1"/>
    </font>
    <font>
      <b/>
      <sz val="20"/>
      <color rgb="FFFF0000"/>
      <name val="Times New Roman"/>
      <family val="1"/>
    </font>
    <font>
      <b/>
      <vertAlign val="superscript"/>
      <sz val="11"/>
      <color theme="0"/>
      <name val="Times New Roman"/>
      <family val="1"/>
    </font>
    <font>
      <b/>
      <sz val="16"/>
      <color theme="1"/>
      <name val="Times New Roman"/>
      <family val="1"/>
    </font>
    <font>
      <sz val="10"/>
      <color rgb="FF1F1F1F"/>
      <name val="Arial"/>
      <family val="2"/>
    </font>
    <font>
      <sz val="12"/>
      <color rgb="FF1F1F1F"/>
      <name val="Times New Roman"/>
      <family val="1"/>
    </font>
    <font>
      <sz val="16"/>
      <color theme="0"/>
      <name val="Times New Roman"/>
      <family val="1"/>
    </font>
    <font>
      <b/>
      <sz val="50"/>
      <color theme="1"/>
      <name val="Times New Roman"/>
      <family val="1"/>
    </font>
    <font>
      <b/>
      <sz val="45"/>
      <color theme="1"/>
      <name val="Times New Roman"/>
      <family val="1"/>
    </font>
    <font>
      <b/>
      <sz val="40"/>
      <color theme="1"/>
      <name val="Times New Roman"/>
      <family val="1"/>
    </font>
    <font>
      <sz val="35"/>
      <color theme="1"/>
      <name val="Times New Roman"/>
      <family val="1"/>
    </font>
    <font>
      <b/>
      <sz val="35"/>
      <color theme="1"/>
      <name val="Times New Roman"/>
      <family val="1"/>
    </font>
    <font>
      <b/>
      <sz val="12"/>
      <color rgb="FFFF0000"/>
      <name val="Times New Roman"/>
      <family val="1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theme="0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n">
        <color indexed="64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n">
        <color indexed="64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n">
        <color indexed="64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 style="thin">
        <color indexed="64"/>
      </left>
      <right/>
      <top style="thick">
        <color theme="1"/>
      </top>
      <bottom style="thick">
        <color theme="1"/>
      </bottom>
      <diagonal/>
    </border>
    <border>
      <left style="thick">
        <color indexed="64"/>
      </left>
      <right style="thick">
        <color indexed="64"/>
      </right>
      <top style="thick">
        <color theme="1"/>
      </top>
      <bottom style="thick">
        <color theme="1"/>
      </bottom>
      <diagonal/>
    </border>
    <border>
      <left/>
      <right style="thin">
        <color indexed="64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/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indexed="64"/>
      </right>
      <top style="thick">
        <color theme="1"/>
      </top>
      <bottom/>
      <diagonal/>
    </border>
    <border>
      <left style="thick">
        <color theme="1"/>
      </left>
      <right style="thick">
        <color indexed="64"/>
      </right>
      <top/>
      <bottom style="thick">
        <color theme="1"/>
      </bottom>
      <diagonal/>
    </border>
    <border>
      <left style="thick">
        <color theme="1"/>
      </left>
      <right style="thick">
        <color indexed="64"/>
      </right>
      <top/>
      <bottom/>
      <diagonal/>
    </border>
    <border>
      <left style="thick">
        <color theme="1"/>
      </left>
      <right/>
      <top style="thick">
        <color theme="1"/>
      </top>
      <bottom style="thick">
        <color theme="0"/>
      </bottom>
      <diagonal/>
    </border>
    <border>
      <left/>
      <right style="thick">
        <color theme="1"/>
      </right>
      <top style="thick">
        <color theme="0"/>
      </top>
      <bottom/>
      <diagonal/>
    </border>
    <border>
      <left style="thick">
        <color theme="1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/>
      <right style="thick">
        <color theme="1"/>
      </right>
      <top style="thin">
        <color indexed="64"/>
      </top>
      <bottom style="thick">
        <color theme="1"/>
      </bottom>
      <diagonal/>
    </border>
    <border>
      <left style="thick">
        <color theme="1"/>
      </left>
      <right/>
      <top style="thick">
        <color theme="0"/>
      </top>
      <bottom/>
      <diagonal/>
    </border>
    <border>
      <left style="thick">
        <color theme="1"/>
      </left>
      <right style="thick">
        <color theme="1"/>
      </right>
      <top style="thick">
        <color theme="0"/>
      </top>
      <bottom/>
      <diagonal/>
    </border>
    <border>
      <left style="thick">
        <color theme="1"/>
      </left>
      <right style="thick">
        <color theme="1"/>
      </right>
      <top/>
      <bottom style="thin">
        <color indexed="64"/>
      </bottom>
      <diagonal/>
    </border>
    <border>
      <left/>
      <right style="thick">
        <color theme="1"/>
      </right>
      <top/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theme="1"/>
      </left>
      <right/>
      <top style="thick">
        <color theme="1"/>
      </top>
      <bottom style="thick">
        <color theme="1"/>
      </bottom>
      <diagonal/>
    </border>
    <border>
      <left style="thick">
        <color indexed="64"/>
      </left>
      <right style="thick">
        <color indexed="64"/>
      </right>
      <top style="thick">
        <color theme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theme="1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83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3" fillId="2" borderId="64" xfId="0" applyFont="1" applyFill="1" applyBorder="1" applyAlignment="1">
      <alignment horizontal="center" vertical="center"/>
    </xf>
    <xf numFmtId="0" fontId="14" fillId="2" borderId="65" xfId="0" applyFont="1" applyFill="1" applyBorder="1" applyAlignment="1">
      <alignment horizontal="center" vertical="center"/>
    </xf>
    <xf numFmtId="0" fontId="14" fillId="2" borderId="58" xfId="0" applyFont="1" applyFill="1" applyBorder="1" applyAlignment="1">
      <alignment horizontal="center" vertical="center"/>
    </xf>
    <xf numFmtId="0" fontId="13" fillId="2" borderId="66" xfId="0" applyFont="1" applyFill="1" applyBorder="1" applyAlignment="1">
      <alignment horizontal="center" vertical="center"/>
    </xf>
    <xf numFmtId="0" fontId="14" fillId="2" borderId="51" xfId="0" applyFont="1" applyFill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17" fillId="0" borderId="70" xfId="0" applyFont="1" applyBorder="1" applyAlignment="1">
      <alignment horizontal="center" vertical="center"/>
    </xf>
    <xf numFmtId="0" fontId="17" fillId="0" borderId="60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63" xfId="0" applyFont="1" applyBorder="1" applyAlignment="1">
      <alignment horizontal="center" vertical="center"/>
    </xf>
    <xf numFmtId="0" fontId="17" fillId="0" borderId="6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8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0" borderId="59" xfId="0" applyFont="1" applyBorder="1" applyAlignment="1">
      <alignment horizontal="center" vertical="center"/>
    </xf>
    <xf numFmtId="0" fontId="20" fillId="0" borderId="70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0" fillId="0" borderId="57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20" fillId="0" borderId="72" xfId="0" applyFont="1" applyBorder="1" applyAlignment="1">
      <alignment horizontal="center" vertical="center"/>
    </xf>
    <xf numFmtId="0" fontId="20" fillId="0" borderId="58" xfId="0" applyFont="1" applyBorder="1" applyAlignment="1">
      <alignment horizontal="center" vertical="center"/>
    </xf>
    <xf numFmtId="0" fontId="20" fillId="0" borderId="63" xfId="0" applyFont="1" applyBorder="1" applyAlignment="1">
      <alignment horizontal="center" vertical="center"/>
    </xf>
    <xf numFmtId="0" fontId="20" fillId="0" borderId="67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2" fillId="2" borderId="57" xfId="0" applyFont="1" applyFill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9" fillId="2" borderId="57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9" fillId="4" borderId="57" xfId="0" applyFont="1" applyFill="1" applyBorder="1" applyAlignment="1">
      <alignment horizontal="center" vertical="center"/>
    </xf>
    <xf numFmtId="0" fontId="19" fillId="4" borderId="59" xfId="0" applyFont="1" applyFill="1" applyBorder="1" applyAlignment="1">
      <alignment horizontal="center" vertical="center"/>
    </xf>
    <xf numFmtId="0" fontId="17" fillId="0" borderId="62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7" fillId="4" borderId="57" xfId="0" applyFont="1" applyFill="1" applyBorder="1" applyAlignment="1">
      <alignment horizontal="center" vertical="center"/>
    </xf>
    <xf numFmtId="0" fontId="17" fillId="4" borderId="72" xfId="0" applyFont="1" applyFill="1" applyBorder="1" applyAlignment="1">
      <alignment horizontal="center" vertical="center"/>
    </xf>
    <xf numFmtId="0" fontId="17" fillId="4" borderId="58" xfId="0" applyFont="1" applyFill="1" applyBorder="1" applyAlignment="1">
      <alignment horizontal="center" vertical="center"/>
    </xf>
    <xf numFmtId="0" fontId="20" fillId="2" borderId="72" xfId="0" applyFont="1" applyFill="1" applyBorder="1" applyAlignment="1">
      <alignment horizontal="center" vertical="center"/>
    </xf>
    <xf numFmtId="0" fontId="20" fillId="2" borderId="58" xfId="0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17" fillId="0" borderId="58" xfId="0" applyFont="1" applyBorder="1" applyAlignment="1">
      <alignment horizontal="center" vertical="center"/>
    </xf>
    <xf numFmtId="0" fontId="17" fillId="0" borderId="6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2" borderId="51" xfId="0" applyFont="1" applyFill="1" applyBorder="1"/>
    <xf numFmtId="0" fontId="22" fillId="2" borderId="68" xfId="0" applyFont="1" applyFill="1" applyBorder="1" applyAlignment="1">
      <alignment horizontal="center" vertical="center"/>
    </xf>
    <xf numFmtId="0" fontId="22" fillId="2" borderId="51" xfId="0" applyFont="1" applyFill="1" applyBorder="1" applyAlignment="1">
      <alignment horizontal="center" vertical="center"/>
    </xf>
    <xf numFmtId="0" fontId="22" fillId="2" borderId="60" xfId="0" applyFont="1" applyFill="1" applyBorder="1" applyAlignment="1">
      <alignment horizontal="center" vertical="center" wrapText="1"/>
    </xf>
    <xf numFmtId="165" fontId="1" fillId="0" borderId="70" xfId="0" applyNumberFormat="1" applyFont="1" applyBorder="1" applyAlignment="1">
      <alignment horizontal="center" vertical="center"/>
    </xf>
    <xf numFmtId="166" fontId="1" fillId="0" borderId="70" xfId="0" applyNumberFormat="1" applyFont="1" applyBorder="1" applyAlignment="1">
      <alignment horizontal="center" vertical="center"/>
    </xf>
    <xf numFmtId="166" fontId="1" fillId="0" borderId="51" xfId="0" applyNumberFormat="1" applyFont="1" applyBorder="1" applyAlignment="1">
      <alignment horizontal="center" vertical="center"/>
    </xf>
    <xf numFmtId="166" fontId="1" fillId="0" borderId="67" xfId="0" applyNumberFormat="1" applyFont="1" applyBorder="1" applyAlignment="1">
      <alignment horizontal="center" vertical="center"/>
    </xf>
    <xf numFmtId="1" fontId="1" fillId="0" borderId="70" xfId="0" applyNumberFormat="1" applyFont="1" applyBorder="1" applyAlignment="1">
      <alignment horizontal="center" vertical="center"/>
    </xf>
    <xf numFmtId="1" fontId="1" fillId="0" borderId="51" xfId="0" applyNumberFormat="1" applyFont="1" applyBorder="1" applyAlignment="1">
      <alignment horizontal="center" vertical="center"/>
    </xf>
    <xf numFmtId="0" fontId="16" fillId="2" borderId="51" xfId="0" applyFont="1" applyFill="1" applyBorder="1" applyAlignment="1">
      <alignment horizontal="center" vertical="center" wrapText="1"/>
    </xf>
    <xf numFmtId="0" fontId="9" fillId="2" borderId="72" xfId="0" applyFont="1" applyFill="1" applyBorder="1" applyAlignment="1">
      <alignment horizontal="center" vertical="center"/>
    </xf>
    <xf numFmtId="0" fontId="17" fillId="0" borderId="68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0" fontId="20" fillId="0" borderId="62" xfId="0" applyFont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/>
    </xf>
    <xf numFmtId="0" fontId="19" fillId="5" borderId="61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20" fillId="0" borderId="68" xfId="0" applyFont="1" applyBorder="1" applyAlignment="1">
      <alignment horizontal="center" vertical="center"/>
    </xf>
    <xf numFmtId="0" fontId="26" fillId="2" borderId="62" xfId="0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 vertical="center" wrapText="1"/>
    </xf>
    <xf numFmtId="0" fontId="26" fillId="2" borderId="61" xfId="0" applyFont="1" applyFill="1" applyBorder="1" applyAlignment="1">
      <alignment horizontal="center" vertical="center" wrapText="1"/>
    </xf>
    <xf numFmtId="0" fontId="26" fillId="2" borderId="71" xfId="0" applyFont="1" applyFill="1" applyBorder="1" applyAlignment="1">
      <alignment horizontal="center" vertical="center" wrapText="1"/>
    </xf>
    <xf numFmtId="0" fontId="27" fillId="2" borderId="67" xfId="0" applyFont="1" applyFill="1" applyBorder="1" applyAlignment="1">
      <alignment horizontal="center" vertical="center"/>
    </xf>
    <xf numFmtId="0" fontId="28" fillId="0" borderId="51" xfId="0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7" fillId="0" borderId="70" xfId="0" applyFont="1" applyBorder="1" applyAlignment="1">
      <alignment horizontal="center" vertical="center"/>
    </xf>
    <xf numFmtId="0" fontId="28" fillId="0" borderId="59" xfId="0" applyFont="1" applyBorder="1" applyAlignment="1">
      <alignment horizontal="center" vertical="center" wrapText="1"/>
    </xf>
    <xf numFmtId="0" fontId="28" fillId="0" borderId="70" xfId="0" applyFont="1" applyBorder="1" applyAlignment="1">
      <alignment horizontal="center" vertical="center"/>
    </xf>
    <xf numFmtId="0" fontId="28" fillId="0" borderId="68" xfId="0" applyFont="1" applyBorder="1" applyAlignment="1">
      <alignment horizontal="center" vertical="center"/>
    </xf>
    <xf numFmtId="0" fontId="28" fillId="0" borderId="59" xfId="0" applyFont="1" applyBorder="1" applyAlignment="1">
      <alignment horizontal="center" vertical="center"/>
    </xf>
    <xf numFmtId="0" fontId="29" fillId="0" borderId="51" xfId="0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27" fillId="0" borderId="67" xfId="0" applyFont="1" applyBorder="1" applyAlignment="1">
      <alignment horizontal="center" vertical="center"/>
    </xf>
    <xf numFmtId="0" fontId="28" fillId="0" borderId="67" xfId="0" applyFont="1" applyBorder="1" applyAlignment="1">
      <alignment horizontal="center" vertical="center"/>
    </xf>
    <xf numFmtId="0" fontId="28" fillId="0" borderId="69" xfId="0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/>
    </xf>
    <xf numFmtId="0" fontId="28" fillId="0" borderId="69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" fontId="28" fillId="0" borderId="51" xfId="0" applyNumberFormat="1" applyFont="1" applyBorder="1" applyAlignment="1">
      <alignment horizontal="center" vertical="center"/>
    </xf>
    <xf numFmtId="0" fontId="0" fillId="4" borderId="68" xfId="0" applyFill="1" applyBorder="1"/>
    <xf numFmtId="0" fontId="0" fillId="4" borderId="59" xfId="0" applyFill="1" applyBorder="1"/>
    <xf numFmtId="0" fontId="0" fillId="4" borderId="60" xfId="0" applyFill="1" applyBorder="1"/>
    <xf numFmtId="0" fontId="27" fillId="0" borderId="71" xfId="0" applyFont="1" applyBorder="1" applyAlignment="1">
      <alignment horizontal="center" vertical="center"/>
    </xf>
    <xf numFmtId="0" fontId="8" fillId="0" borderId="0" xfId="0" applyFont="1"/>
    <xf numFmtId="0" fontId="28" fillId="0" borderId="71" xfId="0" applyFont="1" applyBorder="1" applyAlignment="1">
      <alignment horizontal="center" vertical="center"/>
    </xf>
    <xf numFmtId="0" fontId="0" fillId="4" borderId="70" xfId="0" applyFill="1" applyBorder="1"/>
    <xf numFmtId="0" fontId="32" fillId="8" borderId="0" xfId="0" applyFont="1" applyFill="1" applyAlignment="1">
      <alignment horizontal="center" vertical="center"/>
    </xf>
    <xf numFmtId="0" fontId="8" fillId="0" borderId="58" xfId="0" applyFont="1" applyBorder="1"/>
    <xf numFmtId="0" fontId="20" fillId="0" borderId="57" xfId="0" applyFont="1" applyBorder="1"/>
    <xf numFmtId="0" fontId="20" fillId="0" borderId="58" xfId="0" applyFont="1" applyBorder="1"/>
    <xf numFmtId="0" fontId="10" fillId="0" borderId="7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20" fillId="0" borderId="61" xfId="0" applyFont="1" applyBorder="1"/>
    <xf numFmtId="0" fontId="20" fillId="0" borderId="59" xfId="0" applyFont="1" applyBorder="1"/>
    <xf numFmtId="0" fontId="20" fillId="0" borderId="63" xfId="0" applyFont="1" applyBorder="1"/>
    <xf numFmtId="0" fontId="20" fillId="0" borderId="51" xfId="0" applyFont="1" applyBorder="1"/>
    <xf numFmtId="0" fontId="20" fillId="4" borderId="5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9" fillId="2" borderId="59" xfId="0" applyFont="1" applyFill="1" applyBorder="1" applyAlignment="1">
      <alignment horizontal="center" vertical="center"/>
    </xf>
    <xf numFmtId="0" fontId="19" fillId="4" borderId="60" xfId="0" applyFont="1" applyFill="1" applyBorder="1" applyAlignment="1">
      <alignment horizontal="center" vertical="center"/>
    </xf>
    <xf numFmtId="0" fontId="19" fillId="2" borderId="51" xfId="0" applyFont="1" applyFill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0" fillId="0" borderId="63" xfId="0" applyBorder="1"/>
    <xf numFmtId="0" fontId="0" fillId="0" borderId="51" xfId="0" applyBorder="1"/>
    <xf numFmtId="0" fontId="25" fillId="0" borderId="0" xfId="0" applyFont="1" applyAlignment="1">
      <alignment wrapText="1"/>
    </xf>
    <xf numFmtId="0" fontId="27" fillId="0" borderId="61" xfId="0" applyFont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0" fontId="17" fillId="0" borderId="51" xfId="0" applyFont="1" applyBorder="1"/>
    <xf numFmtId="0" fontId="17" fillId="0" borderId="53" xfId="0" applyFont="1" applyBorder="1"/>
    <xf numFmtId="2" fontId="17" fillId="0" borderId="51" xfId="0" applyNumberFormat="1" applyFont="1" applyBorder="1" applyAlignment="1">
      <alignment horizontal="center" vertical="center"/>
    </xf>
    <xf numFmtId="0" fontId="17" fillId="0" borderId="71" xfId="0" applyFont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7" fillId="0" borderId="69" xfId="0" applyFont="1" applyBorder="1"/>
    <xf numFmtId="0" fontId="17" fillId="4" borderId="59" xfId="0" applyFont="1" applyFill="1" applyBorder="1"/>
    <xf numFmtId="0" fontId="17" fillId="4" borderId="60" xfId="0" applyFont="1" applyFill="1" applyBorder="1"/>
    <xf numFmtId="0" fontId="17" fillId="2" borderId="57" xfId="0" applyFont="1" applyFill="1" applyBorder="1"/>
    <xf numFmtId="0" fontId="17" fillId="2" borderId="58" xfId="0" applyFont="1" applyFill="1" applyBorder="1"/>
    <xf numFmtId="0" fontId="17" fillId="2" borderId="51" xfId="0" applyFont="1" applyFill="1" applyBorder="1"/>
    <xf numFmtId="0" fontId="17" fillId="0" borderId="67" xfId="0" applyFont="1" applyBorder="1" applyAlignment="1">
      <alignment horizontal="center" vertical="center" wrapText="1"/>
    </xf>
    <xf numFmtId="0" fontId="17" fillId="0" borderId="63" xfId="0" applyFont="1" applyBorder="1"/>
    <xf numFmtId="0" fontId="17" fillId="0" borderId="67" xfId="0" applyFont="1" applyBorder="1"/>
    <xf numFmtId="0" fontId="17" fillId="0" borderId="59" xfId="0" applyFont="1" applyBorder="1"/>
    <xf numFmtId="0" fontId="17" fillId="2" borderId="59" xfId="0" applyFont="1" applyFill="1" applyBorder="1"/>
    <xf numFmtId="0" fontId="17" fillId="2" borderId="68" xfId="0" applyFont="1" applyFill="1" applyBorder="1"/>
    <xf numFmtId="0" fontId="17" fillId="2" borderId="60" xfId="0" applyFont="1" applyFill="1" applyBorder="1"/>
    <xf numFmtId="0" fontId="22" fillId="5" borderId="0" xfId="0" applyFont="1" applyFill="1" applyAlignment="1">
      <alignment horizontal="center"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7" fillId="6" borderId="20" xfId="0" applyFont="1" applyFill="1" applyBorder="1" applyAlignment="1">
      <alignment horizontal="center" vertical="center" wrapText="1"/>
    </xf>
    <xf numFmtId="0" fontId="30" fillId="6" borderId="9" xfId="0" applyFont="1" applyFill="1" applyBorder="1" applyAlignment="1">
      <alignment horizontal="center" vertical="center"/>
    </xf>
    <xf numFmtId="0" fontId="37" fillId="0" borderId="9" xfId="0" applyFont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8" fillId="0" borderId="50" xfId="0" applyFont="1" applyBorder="1" applyAlignment="1">
      <alignment horizontal="center" vertical="center"/>
    </xf>
    <xf numFmtId="0" fontId="28" fillId="0" borderId="37" xfId="0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28" fillId="0" borderId="4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2" fillId="4" borderId="59" xfId="0" applyFont="1" applyFill="1" applyBorder="1" applyAlignment="1">
      <alignment horizontal="center" vertical="center"/>
    </xf>
    <xf numFmtId="0" fontId="22" fillId="4" borderId="70" xfId="0" applyFont="1" applyFill="1" applyBorder="1" applyAlignment="1">
      <alignment horizontal="center" vertical="center"/>
    </xf>
    <xf numFmtId="0" fontId="22" fillId="4" borderId="60" xfId="0" applyFont="1" applyFill="1" applyBorder="1" applyAlignment="1">
      <alignment horizontal="center" vertical="center"/>
    </xf>
    <xf numFmtId="0" fontId="22" fillId="2" borderId="80" xfId="0" applyFont="1" applyFill="1" applyBorder="1" applyAlignment="1">
      <alignment horizontal="center" vertical="center"/>
    </xf>
    <xf numFmtId="0" fontId="22" fillId="2" borderId="81" xfId="0" applyFont="1" applyFill="1" applyBorder="1" applyAlignment="1">
      <alignment horizontal="center" vertical="center"/>
    </xf>
    <xf numFmtId="0" fontId="22" fillId="2" borderId="77" xfId="0" applyFont="1" applyFill="1" applyBorder="1" applyAlignment="1">
      <alignment horizontal="center" vertical="center"/>
    </xf>
    <xf numFmtId="0" fontId="22" fillId="0" borderId="57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2" fillId="0" borderId="58" xfId="0" applyFont="1" applyBorder="1" applyAlignment="1">
      <alignment horizontal="center" vertical="center"/>
    </xf>
    <xf numFmtId="0" fontId="22" fillId="4" borderId="61" xfId="0" applyFont="1" applyFill="1" applyBorder="1" applyAlignment="1">
      <alignment horizontal="center" vertical="center"/>
    </xf>
    <xf numFmtId="0" fontId="22" fillId="4" borderId="71" xfId="0" applyFont="1" applyFill="1" applyBorder="1" applyAlignment="1">
      <alignment horizontal="center" vertical="center"/>
    </xf>
    <xf numFmtId="0" fontId="22" fillId="4" borderId="62" xfId="0" applyFont="1" applyFill="1" applyBorder="1" applyAlignment="1">
      <alignment horizontal="center" vertical="center"/>
    </xf>
    <xf numFmtId="0" fontId="22" fillId="2" borderId="76" xfId="0" applyFont="1" applyFill="1" applyBorder="1" applyAlignment="1">
      <alignment horizontal="center" vertical="center"/>
    </xf>
    <xf numFmtId="0" fontId="22" fillId="2" borderId="70" xfId="0" applyFont="1" applyFill="1" applyBorder="1" applyAlignment="1">
      <alignment horizontal="center" vertical="center"/>
    </xf>
    <xf numFmtId="0" fontId="22" fillId="2" borderId="84" xfId="0" applyFont="1" applyFill="1" applyBorder="1" applyAlignment="1">
      <alignment horizontal="center" vertical="center"/>
    </xf>
    <xf numFmtId="0" fontId="22" fillId="2" borderId="60" xfId="0" applyFont="1" applyFill="1" applyBorder="1" applyAlignment="1">
      <alignment horizontal="center" vertical="center"/>
    </xf>
    <xf numFmtId="0" fontId="27" fillId="0" borderId="63" xfId="0" applyFont="1" applyBorder="1" applyAlignment="1">
      <alignment horizontal="center" vertical="center"/>
    </xf>
    <xf numFmtId="0" fontId="26" fillId="4" borderId="71" xfId="0" applyFont="1" applyFill="1" applyBorder="1" applyAlignment="1">
      <alignment horizontal="center" vertical="center"/>
    </xf>
    <xf numFmtId="0" fontId="26" fillId="4" borderId="82" xfId="0" applyFont="1" applyFill="1" applyBorder="1" applyAlignment="1">
      <alignment horizontal="center" vertical="center"/>
    </xf>
    <xf numFmtId="0" fontId="26" fillId="4" borderId="83" xfId="0" applyFont="1" applyFill="1" applyBorder="1" applyAlignment="1">
      <alignment horizontal="center" vertical="center"/>
    </xf>
    <xf numFmtId="0" fontId="28" fillId="0" borderId="62" xfId="0" applyFont="1" applyBorder="1" applyAlignment="1">
      <alignment horizontal="center" vertical="center"/>
    </xf>
    <xf numFmtId="0" fontId="26" fillId="2" borderId="78" xfId="0" applyFont="1" applyFill="1" applyBorder="1" applyAlignment="1">
      <alignment horizontal="center" vertical="center" wrapText="1"/>
    </xf>
    <xf numFmtId="0" fontId="26" fillId="2" borderId="78" xfId="0" applyFont="1" applyFill="1" applyBorder="1" applyAlignment="1">
      <alignment horizontal="center" vertical="center"/>
    </xf>
    <xf numFmtId="0" fontId="26" fillId="2" borderId="79" xfId="0" applyFont="1" applyFill="1" applyBorder="1" applyAlignment="1">
      <alignment horizontal="center" vertical="center"/>
    </xf>
    <xf numFmtId="0" fontId="17" fillId="2" borderId="72" xfId="0" applyFont="1" applyFill="1" applyBorder="1" applyAlignment="1">
      <alignment horizontal="center" vertical="center"/>
    </xf>
    <xf numFmtId="0" fontId="20" fillId="0" borderId="69" xfId="0" applyFont="1" applyBorder="1" applyAlignment="1">
      <alignment horizontal="center" vertical="center"/>
    </xf>
    <xf numFmtId="0" fontId="17" fillId="0" borderId="68" xfId="0" applyFont="1" applyBorder="1"/>
    <xf numFmtId="0" fontId="20" fillId="4" borderId="59" xfId="0" applyFont="1" applyFill="1" applyBorder="1"/>
    <xf numFmtId="0" fontId="20" fillId="4" borderId="60" xfId="0" applyFont="1" applyFill="1" applyBorder="1"/>
    <xf numFmtId="0" fontId="20" fillId="2" borderId="57" xfId="0" applyFont="1" applyFill="1" applyBorder="1"/>
    <xf numFmtId="0" fontId="20" fillId="2" borderId="58" xfId="0" applyFont="1" applyFill="1" applyBorder="1"/>
    <xf numFmtId="0" fontId="25" fillId="4" borderId="58" xfId="0" applyFont="1" applyFill="1" applyBorder="1"/>
    <xf numFmtId="164" fontId="17" fillId="0" borderId="58" xfId="1" applyNumberFormat="1" applyFont="1" applyBorder="1"/>
    <xf numFmtId="164" fontId="17" fillId="0" borderId="58" xfId="0" applyNumberFormat="1" applyFont="1" applyBorder="1"/>
    <xf numFmtId="0" fontId="10" fillId="0" borderId="33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8" fillId="0" borderId="14" xfId="0" applyFont="1" applyBorder="1"/>
    <xf numFmtId="0" fontId="8" fillId="0" borderId="20" xfId="0" applyFont="1" applyBorder="1"/>
    <xf numFmtId="0" fontId="10" fillId="0" borderId="14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0" fillId="6" borderId="57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17" fillId="2" borderId="57" xfId="0" applyFont="1" applyFill="1" applyBorder="1" applyAlignment="1">
      <alignment horizontal="center" vertical="center"/>
    </xf>
    <xf numFmtId="0" fontId="17" fillId="2" borderId="58" xfId="0" applyFont="1" applyFill="1" applyBorder="1" applyAlignment="1">
      <alignment horizontal="center" vertical="center"/>
    </xf>
    <xf numFmtId="0" fontId="20" fillId="6" borderId="51" xfId="0" applyFont="1" applyFill="1" applyBorder="1" applyAlignment="1">
      <alignment horizontal="center" vertical="center"/>
    </xf>
    <xf numFmtId="0" fontId="17" fillId="4" borderId="51" xfId="0" applyFont="1" applyFill="1" applyBorder="1"/>
    <xf numFmtId="0" fontId="16" fillId="4" borderId="57" xfId="0" applyFont="1" applyFill="1" applyBorder="1"/>
    <xf numFmtId="0" fontId="16" fillId="4" borderId="58" xfId="0" applyFont="1" applyFill="1" applyBorder="1"/>
    <xf numFmtId="0" fontId="16" fillId="4" borderId="51" xfId="0" applyFont="1" applyFill="1" applyBorder="1"/>
    <xf numFmtId="0" fontId="16" fillId="4" borderId="57" xfId="0" applyFont="1" applyFill="1" applyBorder="1" applyAlignment="1">
      <alignment vertical="center" wrapText="1"/>
    </xf>
    <xf numFmtId="0" fontId="16" fillId="4" borderId="72" xfId="0" applyFont="1" applyFill="1" applyBorder="1" applyAlignment="1">
      <alignment vertical="center" wrapText="1"/>
    </xf>
    <xf numFmtId="0" fontId="16" fillId="4" borderId="51" xfId="0" applyFont="1" applyFill="1" applyBorder="1" applyAlignment="1">
      <alignment vertical="center" wrapText="1"/>
    </xf>
    <xf numFmtId="0" fontId="9" fillId="2" borderId="51" xfId="0" applyFont="1" applyFill="1" applyBorder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164" fontId="17" fillId="0" borderId="0" xfId="0" applyNumberFormat="1" applyFont="1"/>
    <xf numFmtId="0" fontId="20" fillId="0" borderId="59" xfId="0" applyFont="1" applyBorder="1" applyAlignment="1">
      <alignment horizontal="left" vertical="center"/>
    </xf>
    <xf numFmtId="0" fontId="20" fillId="0" borderId="68" xfId="0" applyFont="1" applyBorder="1" applyAlignment="1">
      <alignment horizontal="left" vertical="center"/>
    </xf>
    <xf numFmtId="0" fontId="20" fillId="0" borderId="60" xfId="0" applyFont="1" applyBorder="1" applyAlignment="1">
      <alignment horizontal="left" vertical="center"/>
    </xf>
    <xf numFmtId="0" fontId="20" fillId="6" borderId="57" xfId="0" applyFont="1" applyFill="1" applyBorder="1" applyAlignment="1">
      <alignment horizontal="left" vertical="center"/>
    </xf>
    <xf numFmtId="0" fontId="20" fillId="0" borderId="51" xfId="0" applyFont="1" applyBorder="1" applyAlignment="1">
      <alignment horizontal="left" vertical="center"/>
    </xf>
    <xf numFmtId="0" fontId="20" fillId="0" borderId="57" xfId="0" applyFont="1" applyBorder="1" applyAlignment="1">
      <alignment horizontal="left" vertical="center"/>
    </xf>
    <xf numFmtId="0" fontId="20" fillId="0" borderId="63" xfId="0" applyFont="1" applyBorder="1" applyAlignment="1">
      <alignment horizontal="left" vertical="center"/>
    </xf>
    <xf numFmtId="164" fontId="20" fillId="0" borderId="51" xfId="1" applyNumberFormat="1" applyFont="1" applyBorder="1" applyAlignment="1">
      <alignment horizontal="left" vertical="center"/>
    </xf>
    <xf numFmtId="0" fontId="20" fillId="0" borderId="61" xfId="0" applyFont="1" applyBorder="1" applyAlignment="1">
      <alignment horizontal="left" vertical="center"/>
    </xf>
    <xf numFmtId="164" fontId="20" fillId="0" borderId="67" xfId="1" applyNumberFormat="1" applyFont="1" applyBorder="1" applyAlignment="1">
      <alignment horizontal="left" vertical="center"/>
    </xf>
    <xf numFmtId="0" fontId="41" fillId="0" borderId="0" xfId="0" applyFont="1" applyAlignment="1">
      <alignment horizontal="left" vertical="center" wrapText="1" indent="1"/>
    </xf>
    <xf numFmtId="0" fontId="0" fillId="4" borderId="68" xfId="0" applyFill="1" applyBorder="1" applyAlignment="1">
      <alignment horizontal="center" vertical="center"/>
    </xf>
    <xf numFmtId="0" fontId="42" fillId="0" borderId="51" xfId="0" applyFont="1" applyBorder="1" applyAlignment="1">
      <alignment horizontal="center" vertical="center" wrapText="1"/>
    </xf>
    <xf numFmtId="0" fontId="42" fillId="0" borderId="67" xfId="0" applyFont="1" applyBorder="1" applyAlignment="1">
      <alignment horizontal="center" vertical="center" wrapText="1"/>
    </xf>
    <xf numFmtId="0" fontId="0" fillId="4" borderId="70" xfId="0" applyFill="1" applyBorder="1" applyAlignment="1">
      <alignment horizontal="center" vertical="center"/>
    </xf>
    <xf numFmtId="0" fontId="42" fillId="0" borderId="7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6" fillId="2" borderId="51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68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1" fillId="0" borderId="85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10" fillId="0" borderId="91" xfId="0" applyFont="1" applyBorder="1"/>
    <xf numFmtId="0" fontId="10" fillId="0" borderId="0" xfId="0" applyFont="1"/>
    <xf numFmtId="0" fontId="10" fillId="0" borderId="89" xfId="0" applyFont="1" applyBorder="1"/>
    <xf numFmtId="0" fontId="10" fillId="0" borderId="88" xfId="0" applyFont="1" applyBorder="1"/>
    <xf numFmtId="0" fontId="1" fillId="0" borderId="14" xfId="0" applyFont="1" applyBorder="1"/>
    <xf numFmtId="0" fontId="1" fillId="0" borderId="31" xfId="0" applyFont="1" applyBorder="1"/>
    <xf numFmtId="0" fontId="1" fillId="0" borderId="16" xfId="0" applyFont="1" applyBorder="1"/>
    <xf numFmtId="0" fontId="10" fillId="0" borderId="17" xfId="0" applyFont="1" applyBorder="1"/>
    <xf numFmtId="0" fontId="1" fillId="0" borderId="18" xfId="0" applyFont="1" applyBorder="1"/>
    <xf numFmtId="0" fontId="1" fillId="0" borderId="23" xfId="0" applyFont="1" applyBorder="1"/>
    <xf numFmtId="0" fontId="10" fillId="0" borderId="23" xfId="0" applyFont="1" applyBorder="1"/>
    <xf numFmtId="0" fontId="10" fillId="0" borderId="95" xfId="0" applyFont="1" applyBorder="1"/>
    <xf numFmtId="0" fontId="10" fillId="0" borderId="96" xfId="0" applyFont="1" applyBorder="1"/>
    <xf numFmtId="0" fontId="10" fillId="0" borderId="16" xfId="0" applyFont="1" applyBorder="1"/>
    <xf numFmtId="0" fontId="10" fillId="0" borderId="97" xfId="0" applyFont="1" applyBorder="1"/>
    <xf numFmtId="0" fontId="10" fillId="0" borderId="18" xfId="0" applyFont="1" applyBorder="1"/>
    <xf numFmtId="0" fontId="10" fillId="0" borderId="19" xfId="0" applyFont="1" applyBorder="1"/>
    <xf numFmtId="0" fontId="20" fillId="0" borderId="0" xfId="0" applyFont="1" applyAlignment="1">
      <alignment vertical="center"/>
    </xf>
    <xf numFmtId="0" fontId="8" fillId="0" borderId="57" xfId="0" applyFont="1" applyBorder="1"/>
    <xf numFmtId="0" fontId="0" fillId="0" borderId="57" xfId="0" applyBorder="1"/>
    <xf numFmtId="0" fontId="0" fillId="0" borderId="72" xfId="0" applyBorder="1"/>
    <xf numFmtId="0" fontId="0" fillId="0" borderId="98" xfId="0" applyBorder="1"/>
    <xf numFmtId="0" fontId="8" fillId="0" borderId="72" xfId="0" applyFont="1" applyBorder="1"/>
    <xf numFmtId="164" fontId="8" fillId="0" borderId="51" xfId="0" applyNumberFormat="1" applyFont="1" applyBorder="1"/>
    <xf numFmtId="0" fontId="17" fillId="0" borderId="51" xfId="0" applyFont="1" applyBorder="1" applyAlignment="1">
      <alignment horizontal="center" vertical="center" wrapText="1"/>
    </xf>
    <xf numFmtId="0" fontId="17" fillId="4" borderId="51" xfId="0" applyFont="1" applyFill="1" applyBorder="1" applyAlignment="1">
      <alignment horizontal="center" vertical="center"/>
    </xf>
    <xf numFmtId="0" fontId="17" fillId="2" borderId="51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164" fontId="2" fillId="0" borderId="58" xfId="0" applyNumberFormat="1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164" fontId="2" fillId="0" borderId="67" xfId="0" applyNumberFormat="1" applyFont="1" applyBorder="1" applyAlignment="1">
      <alignment horizontal="center" vertical="center"/>
    </xf>
    <xf numFmtId="164" fontId="2" fillId="0" borderId="53" xfId="0" applyNumberFormat="1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164" fontId="20" fillId="0" borderId="72" xfId="0" applyNumberFormat="1" applyFont="1" applyBorder="1" applyAlignment="1">
      <alignment horizontal="center" vertical="center" wrapText="1"/>
    </xf>
    <xf numFmtId="164" fontId="20" fillId="0" borderId="51" xfId="1" applyNumberFormat="1" applyFont="1" applyBorder="1" applyAlignment="1">
      <alignment horizontal="center" vertical="center" wrapText="1"/>
    </xf>
    <xf numFmtId="164" fontId="20" fillId="0" borderId="72" xfId="1" applyNumberFormat="1" applyFont="1" applyBorder="1" applyAlignment="1">
      <alignment horizontal="center" vertical="center" wrapText="1"/>
    </xf>
    <xf numFmtId="164" fontId="20" fillId="0" borderId="51" xfId="0" applyNumberFormat="1" applyFont="1" applyBorder="1" applyAlignment="1">
      <alignment horizontal="center" vertical="center" wrapText="1"/>
    </xf>
    <xf numFmtId="164" fontId="20" fillId="0" borderId="58" xfId="0" applyNumberFormat="1" applyFont="1" applyBorder="1" applyAlignment="1">
      <alignment horizontal="center" vertical="center" wrapText="1"/>
    </xf>
    <xf numFmtId="0" fontId="20" fillId="4" borderId="57" xfId="0" applyFont="1" applyFill="1" applyBorder="1" applyAlignment="1">
      <alignment horizontal="center" vertical="center" wrapText="1"/>
    </xf>
    <xf numFmtId="0" fontId="20" fillId="4" borderId="58" xfId="0" applyFont="1" applyFill="1" applyBorder="1" applyAlignment="1">
      <alignment horizontal="center" vertical="center" wrapText="1"/>
    </xf>
    <xf numFmtId="0" fontId="20" fillId="2" borderId="63" xfId="0" applyFont="1" applyFill="1" applyBorder="1" applyAlignment="1">
      <alignment horizontal="center" vertical="center" wrapText="1"/>
    </xf>
    <xf numFmtId="0" fontId="20" fillId="2" borderId="69" xfId="0" applyFont="1" applyFill="1" applyBorder="1" applyAlignment="1">
      <alignment horizontal="center" vertical="center" wrapText="1"/>
    </xf>
    <xf numFmtId="0" fontId="20" fillId="2" borderId="53" xfId="0" applyFont="1" applyFill="1" applyBorder="1" applyAlignment="1">
      <alignment horizontal="center" vertical="center" wrapText="1"/>
    </xf>
    <xf numFmtId="0" fontId="20" fillId="4" borderId="72" xfId="0" applyFont="1" applyFill="1" applyBorder="1" applyAlignment="1">
      <alignment horizontal="center" vertical="center" wrapText="1"/>
    </xf>
    <xf numFmtId="0" fontId="20" fillId="4" borderId="51" xfId="0" applyFont="1" applyFill="1" applyBorder="1" applyAlignment="1">
      <alignment horizontal="center" vertical="center" wrapText="1"/>
    </xf>
    <xf numFmtId="0" fontId="20" fillId="2" borderId="67" xfId="0" applyFont="1" applyFill="1" applyBorder="1" applyAlignment="1">
      <alignment horizontal="center" vertical="center" wrapText="1"/>
    </xf>
    <xf numFmtId="0" fontId="20" fillId="2" borderId="70" xfId="0" applyFont="1" applyFill="1" applyBorder="1" applyAlignment="1">
      <alignment horizontal="center" vertical="center" wrapText="1"/>
    </xf>
    <xf numFmtId="0" fontId="20" fillId="0" borderId="70" xfId="0" applyFont="1" applyBorder="1"/>
    <xf numFmtId="0" fontId="31" fillId="0" borderId="57" xfId="0" applyFont="1" applyBorder="1" applyAlignment="1">
      <alignment horizontal="center" vertical="center"/>
    </xf>
    <xf numFmtId="0" fontId="31" fillId="0" borderId="51" xfId="0" applyFont="1" applyBorder="1" applyAlignment="1">
      <alignment horizontal="center" vertical="center"/>
    </xf>
    <xf numFmtId="164" fontId="3" fillId="2" borderId="51" xfId="0" applyNumberFormat="1" applyFont="1" applyFill="1" applyBorder="1" applyAlignment="1">
      <alignment horizontal="center" vertical="center"/>
    </xf>
    <xf numFmtId="0" fontId="8" fillId="0" borderId="10" xfId="0" applyFont="1" applyBorder="1"/>
    <xf numFmtId="0" fontId="10" fillId="0" borderId="57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164" fontId="17" fillId="0" borderId="11" xfId="0" applyNumberFormat="1" applyFont="1" applyBorder="1" applyAlignment="1">
      <alignment horizontal="center" vertical="center"/>
    </xf>
    <xf numFmtId="164" fontId="17" fillId="0" borderId="17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164" fontId="17" fillId="0" borderId="21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50" fillId="4" borderId="15" xfId="0" applyFont="1" applyFill="1" applyBorder="1"/>
    <xf numFmtId="0" fontId="0" fillId="2" borderId="20" xfId="0" applyFill="1" applyBorder="1"/>
    <xf numFmtId="0" fontId="0" fillId="2" borderId="22" xfId="0" applyFill="1" applyBorder="1"/>
    <xf numFmtId="0" fontId="0" fillId="2" borderId="21" xfId="0" applyFill="1" applyBorder="1"/>
    <xf numFmtId="0" fontId="17" fillId="0" borderId="99" xfId="0" applyFont="1" applyBorder="1" applyAlignment="1">
      <alignment horizontal="center" vertical="center"/>
    </xf>
    <xf numFmtId="0" fontId="17" fillId="0" borderId="65" xfId="0" applyFont="1" applyBorder="1" applyAlignment="1">
      <alignment horizontal="center" vertical="center"/>
    </xf>
    <xf numFmtId="3" fontId="17" fillId="0" borderId="70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7" fillId="0" borderId="1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101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6" fillId="4" borderId="102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7" fillId="0" borderId="102" xfId="0" applyFont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  <xf numFmtId="0" fontId="15" fillId="0" borderId="60" xfId="0" applyFont="1" applyBorder="1" applyAlignment="1">
      <alignment horizontal="center" vertical="center"/>
    </xf>
    <xf numFmtId="0" fontId="15" fillId="0" borderId="61" xfId="0" applyFont="1" applyBorder="1" applyAlignment="1">
      <alignment horizontal="center" vertical="center"/>
    </xf>
    <xf numFmtId="0" fontId="15" fillId="0" borderId="6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8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6" fillId="2" borderId="69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  <xf numFmtId="0" fontId="1" fillId="4" borderId="72" xfId="0" applyFont="1" applyFill="1" applyBorder="1" applyAlignment="1">
      <alignment horizontal="center" vertical="center"/>
    </xf>
    <xf numFmtId="0" fontId="1" fillId="4" borderId="5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2" borderId="59" xfId="0" applyFont="1" applyFill="1" applyBorder="1" applyAlignment="1">
      <alignment horizontal="center" vertical="center"/>
    </xf>
    <xf numFmtId="0" fontId="19" fillId="2" borderId="68" xfId="0" applyFont="1" applyFill="1" applyBorder="1" applyAlignment="1">
      <alignment horizontal="center" vertical="center"/>
    </xf>
    <xf numFmtId="0" fontId="19" fillId="2" borderId="60" xfId="0" applyFont="1" applyFill="1" applyBorder="1" applyAlignment="1">
      <alignment horizontal="center" vertical="center"/>
    </xf>
    <xf numFmtId="0" fontId="19" fillId="2" borderId="61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62" xfId="0" applyFont="1" applyFill="1" applyBorder="1" applyAlignment="1">
      <alignment horizontal="center" vertical="center"/>
    </xf>
    <xf numFmtId="0" fontId="19" fillId="2" borderId="63" xfId="0" applyFont="1" applyFill="1" applyBorder="1" applyAlignment="1">
      <alignment horizontal="center" vertical="center"/>
    </xf>
    <xf numFmtId="0" fontId="19" fillId="2" borderId="69" xfId="0" applyFont="1" applyFill="1" applyBorder="1" applyAlignment="1">
      <alignment horizontal="center" vertical="center"/>
    </xf>
    <xf numFmtId="0" fontId="19" fillId="2" borderId="53" xfId="0" applyFont="1" applyFill="1" applyBorder="1" applyAlignment="1">
      <alignment horizontal="center" vertical="center"/>
    </xf>
    <xf numFmtId="0" fontId="19" fillId="4" borderId="59" xfId="0" applyFont="1" applyFill="1" applyBorder="1" applyAlignment="1">
      <alignment horizontal="center" vertical="center"/>
    </xf>
    <xf numFmtId="0" fontId="19" fillId="4" borderId="68" xfId="0" applyFont="1" applyFill="1" applyBorder="1" applyAlignment="1">
      <alignment horizontal="center" vertical="center"/>
    </xf>
    <xf numFmtId="0" fontId="19" fillId="4" borderId="60" xfId="0" applyFont="1" applyFill="1" applyBorder="1" applyAlignment="1">
      <alignment horizontal="center" vertical="center"/>
    </xf>
    <xf numFmtId="0" fontId="19" fillId="4" borderId="61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9" fillId="4" borderId="62" xfId="0" applyFont="1" applyFill="1" applyBorder="1" applyAlignment="1">
      <alignment horizontal="center" vertical="center"/>
    </xf>
    <xf numFmtId="0" fontId="19" fillId="4" borderId="63" xfId="0" applyFont="1" applyFill="1" applyBorder="1" applyAlignment="1">
      <alignment horizontal="center" vertical="center"/>
    </xf>
    <xf numFmtId="0" fontId="19" fillId="4" borderId="69" xfId="0" applyFont="1" applyFill="1" applyBorder="1" applyAlignment="1">
      <alignment horizontal="center" vertical="center"/>
    </xf>
    <xf numFmtId="0" fontId="19" fillId="4" borderId="53" xfId="0" applyFont="1" applyFill="1" applyBorder="1" applyAlignment="1">
      <alignment horizontal="center" vertical="center"/>
    </xf>
    <xf numFmtId="0" fontId="35" fillId="0" borderId="59" xfId="0" applyFont="1" applyBorder="1" applyAlignment="1">
      <alignment horizontal="center" vertical="center"/>
    </xf>
    <xf numFmtId="0" fontId="35" fillId="0" borderId="68" xfId="0" applyFont="1" applyBorder="1" applyAlignment="1">
      <alignment horizontal="center" vertical="center"/>
    </xf>
    <xf numFmtId="0" fontId="35" fillId="0" borderId="60" xfId="0" applyFont="1" applyBorder="1" applyAlignment="1">
      <alignment horizontal="center" vertical="center"/>
    </xf>
    <xf numFmtId="0" fontId="35" fillId="0" borderId="63" xfId="0" applyFont="1" applyBorder="1" applyAlignment="1">
      <alignment horizontal="center" vertical="center"/>
    </xf>
    <xf numFmtId="0" fontId="35" fillId="0" borderId="69" xfId="0" applyFont="1" applyBorder="1" applyAlignment="1">
      <alignment horizontal="center" vertical="center"/>
    </xf>
    <xf numFmtId="0" fontId="35" fillId="0" borderId="53" xfId="0" applyFont="1" applyBorder="1" applyAlignment="1">
      <alignment horizontal="center" vertical="center"/>
    </xf>
    <xf numFmtId="0" fontId="22" fillId="5" borderId="49" xfId="0" applyFont="1" applyFill="1" applyBorder="1" applyAlignment="1">
      <alignment horizontal="center" vertical="center" wrapText="1"/>
    </xf>
    <xf numFmtId="0" fontId="22" fillId="5" borderId="30" xfId="0" applyFont="1" applyFill="1" applyBorder="1" applyAlignment="1">
      <alignment horizontal="center" vertical="center" wrapText="1"/>
    </xf>
    <xf numFmtId="0" fontId="22" fillId="5" borderId="32" xfId="0" applyFont="1" applyFill="1" applyBorder="1" applyAlignment="1">
      <alignment horizontal="center" vertical="center" wrapText="1"/>
    </xf>
    <xf numFmtId="0" fontId="22" fillId="5" borderId="42" xfId="0" applyFont="1" applyFill="1" applyBorder="1" applyAlignment="1">
      <alignment horizontal="center" vertical="center" wrapText="1"/>
    </xf>
    <xf numFmtId="0" fontId="26" fillId="5" borderId="36" xfId="0" applyFont="1" applyFill="1" applyBorder="1" applyAlignment="1">
      <alignment horizontal="center" vertical="center"/>
    </xf>
    <xf numFmtId="0" fontId="26" fillId="5" borderId="38" xfId="0" applyFont="1" applyFill="1" applyBorder="1" applyAlignment="1">
      <alignment horizontal="center" vertical="center"/>
    </xf>
    <xf numFmtId="0" fontId="1" fillId="7" borderId="54" xfId="0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22" fillId="4" borderId="16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2" fillId="2" borderId="33" xfId="0" applyFont="1" applyFill="1" applyBorder="1" applyAlignment="1">
      <alignment horizontal="center" vertical="center" wrapText="1"/>
    </xf>
    <xf numFmtId="0" fontId="22" fillId="2" borderId="34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center" vertical="center" wrapText="1"/>
    </xf>
    <xf numFmtId="0" fontId="1" fillId="7" borderId="52" xfId="0" applyFont="1" applyFill="1" applyBorder="1" applyAlignment="1">
      <alignment horizontal="center" vertical="center"/>
    </xf>
    <xf numFmtId="0" fontId="1" fillId="7" borderId="56" xfId="0" applyFont="1" applyFill="1" applyBorder="1" applyAlignment="1">
      <alignment horizontal="center" vertical="center"/>
    </xf>
    <xf numFmtId="0" fontId="11" fillId="7" borderId="57" xfId="2" applyFill="1" applyBorder="1" applyAlignment="1">
      <alignment horizontal="center" vertical="center" wrapText="1"/>
    </xf>
    <xf numFmtId="0" fontId="11" fillId="7" borderId="58" xfId="2" applyFill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44" xfId="0" applyFont="1" applyBorder="1" applyAlignment="1">
      <alignment horizontal="center" vertical="center"/>
    </xf>
    <xf numFmtId="0" fontId="28" fillId="0" borderId="43" xfId="0" applyFont="1" applyBorder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28" fillId="0" borderId="47" xfId="0" applyFont="1" applyBorder="1" applyAlignment="1">
      <alignment horizontal="center" vertical="center"/>
    </xf>
    <xf numFmtId="0" fontId="27" fillId="4" borderId="36" xfId="0" applyFont="1" applyFill="1" applyBorder="1" applyAlignment="1">
      <alignment horizontal="center" vertical="center"/>
    </xf>
    <xf numFmtId="0" fontId="27" fillId="4" borderId="38" xfId="0" applyFont="1" applyFill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7" fillId="4" borderId="44" xfId="0" applyFont="1" applyFill="1" applyBorder="1" applyAlignment="1">
      <alignment horizontal="center" vertical="center"/>
    </xf>
    <xf numFmtId="0" fontId="27" fillId="4" borderId="43" xfId="0" applyFont="1" applyFill="1" applyBorder="1" applyAlignment="1">
      <alignment horizontal="center" vertical="center"/>
    </xf>
    <xf numFmtId="0" fontId="34" fillId="10" borderId="16" xfId="0" applyFont="1" applyFill="1" applyBorder="1" applyAlignment="1">
      <alignment horizontal="center" vertical="center" wrapText="1"/>
    </xf>
    <xf numFmtId="0" fontId="34" fillId="10" borderId="0" xfId="0" applyFont="1" applyFill="1" applyAlignment="1">
      <alignment horizontal="center" vertical="center" wrapText="1"/>
    </xf>
    <xf numFmtId="0" fontId="34" fillId="10" borderId="17" xfId="0" applyFont="1" applyFill="1" applyBorder="1" applyAlignment="1">
      <alignment horizontal="center" vertical="center" wrapText="1"/>
    </xf>
    <xf numFmtId="0" fontId="34" fillId="10" borderId="18" xfId="0" applyFont="1" applyFill="1" applyBorder="1" applyAlignment="1">
      <alignment horizontal="center" vertical="center" wrapText="1"/>
    </xf>
    <xf numFmtId="0" fontId="34" fillId="10" borderId="23" xfId="0" applyFont="1" applyFill="1" applyBorder="1" applyAlignment="1">
      <alignment horizontal="center" vertical="center" wrapText="1"/>
    </xf>
    <xf numFmtId="0" fontId="34" fillId="10" borderId="19" xfId="0" applyFont="1" applyFill="1" applyBorder="1" applyAlignment="1">
      <alignment horizontal="center" vertical="center" wrapText="1"/>
    </xf>
    <xf numFmtId="0" fontId="34" fillId="4" borderId="14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>
      <alignment horizontal="center" vertical="center" wrapText="1"/>
    </xf>
    <xf numFmtId="0" fontId="34" fillId="4" borderId="18" xfId="0" applyFont="1" applyFill="1" applyBorder="1" applyAlignment="1">
      <alignment horizontal="center" vertical="center" wrapText="1"/>
    </xf>
    <xf numFmtId="0" fontId="34" fillId="4" borderId="19" xfId="0" applyFont="1" applyFill="1" applyBorder="1" applyAlignment="1">
      <alignment horizontal="center" vertical="center" wrapText="1"/>
    </xf>
    <xf numFmtId="0" fontId="34" fillId="4" borderId="16" xfId="0" applyFont="1" applyFill="1" applyBorder="1" applyAlignment="1">
      <alignment horizontal="center" vertical="center"/>
    </xf>
    <xf numFmtId="0" fontId="34" fillId="4" borderId="17" xfId="0" applyFont="1" applyFill="1" applyBorder="1" applyAlignment="1">
      <alignment horizontal="center" vertical="center"/>
    </xf>
    <xf numFmtId="0" fontId="34" fillId="4" borderId="18" xfId="0" applyFont="1" applyFill="1" applyBorder="1" applyAlignment="1">
      <alignment horizontal="center" vertical="center"/>
    </xf>
    <xf numFmtId="0" fontId="34" fillId="4" borderId="19" xfId="0" applyFont="1" applyFill="1" applyBorder="1" applyAlignment="1">
      <alignment horizontal="center" vertical="center"/>
    </xf>
    <xf numFmtId="0" fontId="34" fillId="10" borderId="14" xfId="0" applyFont="1" applyFill="1" applyBorder="1" applyAlignment="1">
      <alignment horizontal="center" vertical="center"/>
    </xf>
    <xf numFmtId="0" fontId="34" fillId="10" borderId="15" xfId="0" applyFont="1" applyFill="1" applyBorder="1" applyAlignment="1">
      <alignment horizontal="center" vertical="center"/>
    </xf>
    <xf numFmtId="0" fontId="34" fillId="10" borderId="18" xfId="0" applyFont="1" applyFill="1" applyBorder="1" applyAlignment="1">
      <alignment horizontal="center" vertical="center"/>
    </xf>
    <xf numFmtId="0" fontId="34" fillId="10" borderId="19" xfId="0" applyFont="1" applyFill="1" applyBorder="1" applyAlignment="1">
      <alignment horizontal="center" vertical="center"/>
    </xf>
    <xf numFmtId="0" fontId="34" fillId="10" borderId="60" xfId="0" applyFont="1" applyFill="1" applyBorder="1" applyAlignment="1">
      <alignment horizontal="center" vertical="center"/>
    </xf>
    <xf numFmtId="0" fontId="34" fillId="10" borderId="53" xfId="0" applyFont="1" applyFill="1" applyBorder="1" applyAlignment="1">
      <alignment horizontal="center" vertical="center"/>
    </xf>
    <xf numFmtId="0" fontId="34" fillId="10" borderId="99" xfId="0" applyFont="1" applyFill="1" applyBorder="1" applyAlignment="1">
      <alignment horizontal="center" vertical="center"/>
    </xf>
    <xf numFmtId="0" fontId="34" fillId="10" borderId="100" xfId="0" applyFont="1" applyFill="1" applyBorder="1" applyAlignment="1">
      <alignment horizontal="center" vertical="center"/>
    </xf>
    <xf numFmtId="0" fontId="34" fillId="4" borderId="59" xfId="0" applyFont="1" applyFill="1" applyBorder="1" applyAlignment="1">
      <alignment horizontal="center" vertical="center" wrapText="1"/>
    </xf>
    <xf numFmtId="0" fontId="34" fillId="4" borderId="68" xfId="0" applyFont="1" applyFill="1" applyBorder="1" applyAlignment="1">
      <alignment horizontal="center" vertical="center" wrapText="1"/>
    </xf>
    <xf numFmtId="0" fontId="34" fillId="4" borderId="63" xfId="0" applyFont="1" applyFill="1" applyBorder="1" applyAlignment="1">
      <alignment horizontal="center" vertical="center" wrapText="1"/>
    </xf>
    <xf numFmtId="0" fontId="34" fillId="4" borderId="69" xfId="0" applyFont="1" applyFill="1" applyBorder="1" applyAlignment="1">
      <alignment horizontal="center" vertical="center" wrapText="1"/>
    </xf>
    <xf numFmtId="0" fontId="34" fillId="4" borderId="10" xfId="0" applyFont="1" applyFill="1" applyBorder="1" applyAlignment="1">
      <alignment horizontal="center" vertical="center" wrapText="1"/>
    </xf>
    <xf numFmtId="0" fontId="34" fillId="4" borderId="11" xfId="0" applyFont="1" applyFill="1" applyBorder="1" applyAlignment="1">
      <alignment horizontal="center" vertical="center" wrapText="1"/>
    </xf>
    <xf numFmtId="0" fontId="34" fillId="4" borderId="12" xfId="0" applyFont="1" applyFill="1" applyBorder="1" applyAlignment="1">
      <alignment horizontal="center" vertical="center" wrapText="1"/>
    </xf>
    <xf numFmtId="0" fontId="34" fillId="2" borderId="33" xfId="0" applyFont="1" applyFill="1" applyBorder="1" applyAlignment="1">
      <alignment horizontal="center" vertical="center" wrapText="1"/>
    </xf>
    <xf numFmtId="0" fontId="34" fillId="2" borderId="34" xfId="0" applyFont="1" applyFill="1" applyBorder="1" applyAlignment="1">
      <alignment horizontal="center" vertical="center" wrapText="1"/>
    </xf>
    <xf numFmtId="0" fontId="34" fillId="2" borderId="35" xfId="0" applyFont="1" applyFill="1" applyBorder="1" applyAlignment="1">
      <alignment horizontal="center" vertical="center" wrapText="1"/>
    </xf>
    <xf numFmtId="0" fontId="34" fillId="4" borderId="14" xfId="0" applyFont="1" applyFill="1" applyBorder="1" applyAlignment="1">
      <alignment horizontal="center" vertical="center"/>
    </xf>
    <xf numFmtId="0" fontId="34" fillId="4" borderId="31" xfId="0" applyFont="1" applyFill="1" applyBorder="1" applyAlignment="1">
      <alignment horizontal="center" vertical="center"/>
    </xf>
    <xf numFmtId="0" fontId="34" fillId="4" borderId="23" xfId="0" applyFont="1" applyFill="1" applyBorder="1" applyAlignment="1">
      <alignment horizontal="center" vertical="center"/>
    </xf>
    <xf numFmtId="0" fontId="34" fillId="4" borderId="10" xfId="0" applyFont="1" applyFill="1" applyBorder="1" applyAlignment="1">
      <alignment horizontal="center" vertical="center"/>
    </xf>
    <xf numFmtId="0" fontId="34" fillId="4" borderId="12" xfId="0" applyFont="1" applyFill="1" applyBorder="1" applyAlignment="1">
      <alignment horizontal="center" vertical="center"/>
    </xf>
    <xf numFmtId="0" fontId="34" fillId="10" borderId="14" xfId="0" applyFont="1" applyFill="1" applyBorder="1" applyAlignment="1">
      <alignment horizontal="center" wrapText="1"/>
    </xf>
    <xf numFmtId="0" fontId="34" fillId="10" borderId="31" xfId="0" applyFont="1" applyFill="1" applyBorder="1" applyAlignment="1">
      <alignment horizontal="center" wrapText="1"/>
    </xf>
    <xf numFmtId="0" fontId="34" fillId="10" borderId="18" xfId="0" applyFont="1" applyFill="1" applyBorder="1" applyAlignment="1">
      <alignment horizontal="center" wrapText="1"/>
    </xf>
    <xf numFmtId="0" fontId="34" fillId="10" borderId="23" xfId="0" applyFont="1" applyFill="1" applyBorder="1" applyAlignment="1">
      <alignment horizontal="center" wrapText="1"/>
    </xf>
    <xf numFmtId="0" fontId="34" fillId="4" borderId="31" xfId="0" applyFont="1" applyFill="1" applyBorder="1" applyAlignment="1">
      <alignment horizontal="center" vertical="center" wrapText="1"/>
    </xf>
    <xf numFmtId="0" fontId="34" fillId="4" borderId="16" xfId="0" applyFont="1" applyFill="1" applyBorder="1" applyAlignment="1">
      <alignment horizontal="center" vertical="center" wrapText="1"/>
    </xf>
    <xf numFmtId="0" fontId="34" fillId="4" borderId="0" xfId="0" applyFont="1" applyFill="1" applyAlignment="1">
      <alignment horizontal="center" vertical="center" wrapText="1"/>
    </xf>
    <xf numFmtId="0" fontId="34" fillId="10" borderId="10" xfId="0" applyFont="1" applyFill="1" applyBorder="1" applyAlignment="1">
      <alignment horizontal="center" vertical="center"/>
    </xf>
    <xf numFmtId="0" fontId="34" fillId="10" borderId="11" xfId="0" applyFont="1" applyFill="1" applyBorder="1" applyAlignment="1">
      <alignment horizontal="center" vertical="center"/>
    </xf>
    <xf numFmtId="0" fontId="34" fillId="10" borderId="17" xfId="0" applyFont="1" applyFill="1" applyBorder="1" applyAlignment="1">
      <alignment horizontal="center" vertical="center"/>
    </xf>
    <xf numFmtId="0" fontId="34" fillId="10" borderId="59" xfId="0" applyFont="1" applyFill="1" applyBorder="1" applyAlignment="1">
      <alignment horizontal="center" vertical="center"/>
    </xf>
    <xf numFmtId="0" fontId="34" fillId="10" borderId="63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/>
    </xf>
    <xf numFmtId="0" fontId="20" fillId="0" borderId="63" xfId="0" applyFont="1" applyBorder="1" applyAlignment="1">
      <alignment horizontal="center" vertical="center"/>
    </xf>
    <xf numFmtId="0" fontId="20" fillId="0" borderId="70" xfId="0" applyFont="1" applyBorder="1" applyAlignment="1">
      <alignment horizontal="center" vertical="center"/>
    </xf>
    <xf numFmtId="0" fontId="20" fillId="0" borderId="67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4" fillId="2" borderId="69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  <xf numFmtId="0" fontId="3" fillId="4" borderId="58" xfId="0" applyFont="1" applyFill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 wrapText="1"/>
    </xf>
    <xf numFmtId="0" fontId="20" fillId="0" borderId="75" xfId="0" applyFont="1" applyBorder="1" applyAlignment="1">
      <alignment horizontal="center" vertical="center" wrapText="1"/>
    </xf>
    <xf numFmtId="0" fontId="20" fillId="0" borderId="74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17" fillId="0" borderId="68" xfId="0" applyFont="1" applyBorder="1" applyAlignment="1">
      <alignment horizontal="center" vertical="center"/>
    </xf>
    <xf numFmtId="0" fontId="17" fillId="0" borderId="60" xfId="0" applyFont="1" applyBorder="1" applyAlignment="1">
      <alignment horizontal="center" vertical="center"/>
    </xf>
    <xf numFmtId="0" fontId="12" fillId="4" borderId="57" xfId="0" applyFont="1" applyFill="1" applyBorder="1" applyAlignment="1">
      <alignment horizontal="center" vertical="center"/>
    </xf>
    <xf numFmtId="0" fontId="12" fillId="4" borderId="72" xfId="0" applyFont="1" applyFill="1" applyBorder="1" applyAlignment="1">
      <alignment horizontal="center" vertical="center"/>
    </xf>
    <xf numFmtId="0" fontId="12" fillId="4" borderId="58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left" vertical="center"/>
    </xf>
    <xf numFmtId="0" fontId="35" fillId="0" borderId="72" xfId="0" applyFont="1" applyBorder="1" applyAlignment="1">
      <alignment horizontal="left" vertical="center"/>
    </xf>
    <xf numFmtId="0" fontId="35" fillId="0" borderId="58" xfId="0" applyFont="1" applyBorder="1" applyAlignment="1">
      <alignment horizontal="left" vertical="center"/>
    </xf>
    <xf numFmtId="0" fontId="20" fillId="0" borderId="72" xfId="0" applyFont="1" applyBorder="1" applyAlignment="1">
      <alignment horizontal="left" vertical="center"/>
    </xf>
    <xf numFmtId="0" fontId="20" fillId="0" borderId="58" xfId="0" applyFont="1" applyBorder="1" applyAlignment="1">
      <alignment horizontal="left" vertical="center"/>
    </xf>
    <xf numFmtId="0" fontId="17" fillId="0" borderId="57" xfId="0" applyFont="1" applyBorder="1" applyAlignment="1">
      <alignment horizontal="left" vertical="center"/>
    </xf>
    <xf numFmtId="0" fontId="17" fillId="0" borderId="58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0" fontId="17" fillId="0" borderId="72" xfId="0" applyFont="1" applyBorder="1" applyAlignment="1">
      <alignment horizontal="left" vertical="center"/>
    </xf>
    <xf numFmtId="0" fontId="20" fillId="0" borderId="59" xfId="0" applyFont="1" applyBorder="1" applyAlignment="1">
      <alignment horizontal="left" vertical="center"/>
    </xf>
    <xf numFmtId="0" fontId="20" fillId="0" borderId="68" xfId="0" applyFont="1" applyBorder="1" applyAlignment="1">
      <alignment horizontal="left" vertical="center"/>
    </xf>
    <xf numFmtId="0" fontId="20" fillId="0" borderId="60" xfId="0" applyFont="1" applyBorder="1" applyAlignment="1">
      <alignment horizontal="left" vertical="center"/>
    </xf>
    <xf numFmtId="0" fontId="20" fillId="0" borderId="57" xfId="0" applyFont="1" applyBorder="1" applyAlignment="1">
      <alignment horizontal="center" vertical="center"/>
    </xf>
    <xf numFmtId="0" fontId="20" fillId="0" borderId="72" xfId="0" applyFont="1" applyBorder="1" applyAlignment="1">
      <alignment horizontal="center" vertical="center"/>
    </xf>
    <xf numFmtId="0" fontId="20" fillId="0" borderId="58" xfId="0" applyFont="1" applyBorder="1" applyAlignment="1">
      <alignment horizontal="center" vertical="center"/>
    </xf>
    <xf numFmtId="0" fontId="17" fillId="0" borderId="63" xfId="0" applyFont="1" applyBorder="1" applyAlignment="1">
      <alignment horizontal="center" vertical="center"/>
    </xf>
    <xf numFmtId="0" fontId="17" fillId="0" borderId="69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 vertical="center"/>
    </xf>
    <xf numFmtId="0" fontId="17" fillId="0" borderId="72" xfId="0" applyFont="1" applyBorder="1" applyAlignment="1">
      <alignment horizontal="center" vertical="center"/>
    </xf>
    <xf numFmtId="0" fontId="17" fillId="0" borderId="58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68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0" borderId="69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40" fillId="0" borderId="59" xfId="0" applyFont="1" applyBorder="1" applyAlignment="1">
      <alignment horizontal="center" vertical="center"/>
    </xf>
    <xf numFmtId="0" fontId="40" fillId="0" borderId="60" xfId="0" applyFont="1" applyBorder="1" applyAlignment="1">
      <alignment horizontal="center" vertical="center"/>
    </xf>
    <xf numFmtId="0" fontId="40" fillId="0" borderId="61" xfId="0" applyFont="1" applyBorder="1" applyAlignment="1">
      <alignment horizontal="center" vertical="center"/>
    </xf>
    <xf numFmtId="0" fontId="40" fillId="0" borderId="62" xfId="0" applyFont="1" applyBorder="1" applyAlignment="1">
      <alignment horizontal="center" vertical="center"/>
    </xf>
    <xf numFmtId="0" fontId="40" fillId="0" borderId="63" xfId="0" applyFont="1" applyBorder="1" applyAlignment="1">
      <alignment horizontal="center" vertical="center"/>
    </xf>
    <xf numFmtId="0" fontId="40" fillId="0" borderId="53" xfId="0" applyFont="1" applyBorder="1" applyAlignment="1">
      <alignment horizontal="center" vertical="center"/>
    </xf>
    <xf numFmtId="164" fontId="40" fillId="0" borderId="68" xfId="0" applyNumberFormat="1" applyFont="1" applyBorder="1" applyAlignment="1">
      <alignment horizontal="center" vertical="center"/>
    </xf>
    <xf numFmtId="164" fontId="40" fillId="0" borderId="60" xfId="0" applyNumberFormat="1" applyFont="1" applyBorder="1" applyAlignment="1">
      <alignment horizontal="center" vertical="center"/>
    </xf>
    <xf numFmtId="164" fontId="40" fillId="0" borderId="0" xfId="0" applyNumberFormat="1" applyFont="1" applyAlignment="1">
      <alignment horizontal="center" vertical="center"/>
    </xf>
    <xf numFmtId="164" fontId="40" fillId="0" borderId="62" xfId="0" applyNumberFormat="1" applyFont="1" applyBorder="1" applyAlignment="1">
      <alignment horizontal="center" vertical="center"/>
    </xf>
    <xf numFmtId="164" fontId="40" fillId="0" borderId="69" xfId="0" applyNumberFormat="1" applyFont="1" applyBorder="1" applyAlignment="1">
      <alignment horizontal="center" vertical="center"/>
    </xf>
    <xf numFmtId="164" fontId="40" fillId="0" borderId="53" xfId="0" applyNumberFormat="1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62" xfId="0" applyFont="1" applyBorder="1" applyAlignment="1">
      <alignment horizontal="center"/>
    </xf>
    <xf numFmtId="0" fontId="20" fillId="0" borderId="63" xfId="0" applyFont="1" applyBorder="1" applyAlignment="1">
      <alignment horizontal="center"/>
    </xf>
    <xf numFmtId="0" fontId="20" fillId="0" borderId="69" xfId="0" applyFont="1" applyBorder="1" applyAlignment="1">
      <alignment horizontal="center"/>
    </xf>
    <xf numFmtId="0" fontId="20" fillId="0" borderId="53" xfId="0" applyFont="1" applyBorder="1" applyAlignment="1">
      <alignment horizontal="center"/>
    </xf>
    <xf numFmtId="0" fontId="20" fillId="0" borderId="59" xfId="0" applyFont="1" applyBorder="1" applyAlignment="1">
      <alignment horizontal="center"/>
    </xf>
    <xf numFmtId="0" fontId="20" fillId="0" borderId="68" xfId="0" applyFont="1" applyBorder="1" applyAlignment="1">
      <alignment horizontal="center"/>
    </xf>
    <xf numFmtId="0" fontId="20" fillId="0" borderId="60" xfId="0" applyFont="1" applyBorder="1" applyAlignment="1">
      <alignment horizontal="center"/>
    </xf>
    <xf numFmtId="0" fontId="36" fillId="0" borderId="57" xfId="0" applyFont="1" applyBorder="1" applyAlignment="1">
      <alignment horizontal="center" vertical="center"/>
    </xf>
    <xf numFmtId="0" fontId="36" fillId="0" borderId="72" xfId="0" applyFont="1" applyBorder="1" applyAlignment="1">
      <alignment horizontal="center" vertical="center"/>
    </xf>
    <xf numFmtId="0" fontId="36" fillId="0" borderId="58" xfId="0" applyFont="1" applyBorder="1" applyAlignment="1">
      <alignment horizontal="center" vertical="center"/>
    </xf>
    <xf numFmtId="0" fontId="17" fillId="4" borderId="59" xfId="0" applyFont="1" applyFill="1" applyBorder="1" applyAlignment="1">
      <alignment horizontal="center"/>
    </xf>
    <xf numFmtId="0" fontId="17" fillId="4" borderId="68" xfId="0" applyFont="1" applyFill="1" applyBorder="1" applyAlignment="1">
      <alignment horizontal="center"/>
    </xf>
    <xf numFmtId="0" fontId="17" fillId="4" borderId="60" xfId="0" applyFont="1" applyFill="1" applyBorder="1" applyAlignment="1">
      <alignment horizontal="center"/>
    </xf>
    <xf numFmtId="0" fontId="17" fillId="4" borderId="63" xfId="0" applyFont="1" applyFill="1" applyBorder="1" applyAlignment="1">
      <alignment horizontal="center"/>
    </xf>
    <xf numFmtId="0" fontId="17" fillId="4" borderId="69" xfId="0" applyFont="1" applyFill="1" applyBorder="1" applyAlignment="1">
      <alignment horizontal="center"/>
    </xf>
    <xf numFmtId="0" fontId="17" fillId="4" borderId="53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20" fillId="0" borderId="68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62" xfId="0" applyFont="1" applyBorder="1" applyAlignment="1">
      <alignment horizontal="center" vertical="center"/>
    </xf>
    <xf numFmtId="0" fontId="20" fillId="0" borderId="69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 wrapText="1"/>
    </xf>
    <xf numFmtId="0" fontId="14" fillId="0" borderId="68" xfId="0" applyFont="1" applyBorder="1" applyAlignment="1">
      <alignment horizontal="center" vertical="center" wrapText="1"/>
    </xf>
    <xf numFmtId="0" fontId="14" fillId="0" borderId="60" xfId="0" applyFont="1" applyBorder="1" applyAlignment="1">
      <alignment horizontal="center" vertical="center" wrapText="1"/>
    </xf>
    <xf numFmtId="0" fontId="14" fillId="0" borderId="63" xfId="0" applyFont="1" applyBorder="1" applyAlignment="1">
      <alignment horizontal="center" vertical="center" wrapText="1"/>
    </xf>
    <xf numFmtId="0" fontId="14" fillId="0" borderId="69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31" fillId="0" borderId="59" xfId="0" applyFont="1" applyBorder="1" applyAlignment="1">
      <alignment horizontal="center" vertical="center"/>
    </xf>
    <xf numFmtId="0" fontId="31" fillId="0" borderId="68" xfId="0" applyFont="1" applyBorder="1" applyAlignment="1">
      <alignment horizontal="center" vertical="center"/>
    </xf>
    <xf numFmtId="0" fontId="31" fillId="0" borderId="60" xfId="0" applyFont="1" applyBorder="1" applyAlignment="1">
      <alignment horizontal="center" vertical="center"/>
    </xf>
    <xf numFmtId="0" fontId="31" fillId="0" borderId="61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62" xfId="0" applyFont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/>
    </xf>
    <xf numFmtId="0" fontId="20" fillId="0" borderId="72" xfId="0" applyFont="1" applyBorder="1" applyAlignment="1">
      <alignment horizontal="center"/>
    </xf>
    <xf numFmtId="0" fontId="20" fillId="0" borderId="58" xfId="0" applyFont="1" applyBorder="1" applyAlignment="1">
      <alignment horizontal="center"/>
    </xf>
    <xf numFmtId="0" fontId="17" fillId="0" borderId="63" xfId="0" applyFont="1" applyBorder="1" applyAlignment="1">
      <alignment horizontal="center"/>
    </xf>
    <xf numFmtId="0" fontId="17" fillId="0" borderId="69" xfId="0" applyFont="1" applyBorder="1" applyAlignment="1">
      <alignment horizontal="center"/>
    </xf>
    <xf numFmtId="0" fontId="17" fillId="0" borderId="53" xfId="0" applyFont="1" applyBorder="1" applyAlignment="1">
      <alignment horizontal="center"/>
    </xf>
    <xf numFmtId="0" fontId="17" fillId="0" borderId="61" xfId="0" applyFont="1" applyBorder="1" applyAlignment="1">
      <alignment horizontal="center"/>
    </xf>
    <xf numFmtId="0" fontId="17" fillId="0" borderId="62" xfId="0" applyFont="1" applyBorder="1" applyAlignment="1">
      <alignment horizontal="center"/>
    </xf>
    <xf numFmtId="164" fontId="20" fillId="0" borderId="59" xfId="0" applyNumberFormat="1" applyFont="1" applyBorder="1" applyAlignment="1">
      <alignment horizontal="center"/>
    </xf>
    <xf numFmtId="164" fontId="20" fillId="0" borderId="68" xfId="0" applyNumberFormat="1" applyFont="1" applyBorder="1" applyAlignment="1">
      <alignment horizontal="center"/>
    </xf>
    <xf numFmtId="164" fontId="20" fillId="0" borderId="60" xfId="0" applyNumberFormat="1" applyFont="1" applyBorder="1" applyAlignment="1">
      <alignment horizontal="center"/>
    </xf>
    <xf numFmtId="164" fontId="20" fillId="0" borderId="63" xfId="0" applyNumberFormat="1" applyFont="1" applyBorder="1" applyAlignment="1">
      <alignment horizontal="center"/>
    </xf>
    <xf numFmtId="164" fontId="20" fillId="0" borderId="69" xfId="0" applyNumberFormat="1" applyFont="1" applyBorder="1" applyAlignment="1">
      <alignment horizontal="center"/>
    </xf>
    <xf numFmtId="164" fontId="20" fillId="0" borderId="53" xfId="0" applyNumberFormat="1" applyFont="1" applyBorder="1" applyAlignment="1">
      <alignment horizontal="center"/>
    </xf>
    <xf numFmtId="0" fontId="19" fillId="9" borderId="63" xfId="0" applyFont="1" applyFill="1" applyBorder="1" applyAlignment="1">
      <alignment horizontal="center" vertical="center"/>
    </xf>
    <xf numFmtId="0" fontId="19" fillId="9" borderId="53" xfId="0" applyFont="1" applyFill="1" applyBorder="1" applyAlignment="1">
      <alignment horizontal="center" vertical="center"/>
    </xf>
    <xf numFmtId="0" fontId="20" fillId="6" borderId="57" xfId="0" applyFont="1" applyFill="1" applyBorder="1" applyAlignment="1">
      <alignment horizontal="center"/>
    </xf>
    <xf numFmtId="0" fontId="20" fillId="6" borderId="58" xfId="0" applyFont="1" applyFill="1" applyBorder="1" applyAlignment="1">
      <alignment horizontal="center"/>
    </xf>
    <xf numFmtId="0" fontId="19" fillId="4" borderId="57" xfId="0" applyFont="1" applyFill="1" applyBorder="1" applyAlignment="1">
      <alignment horizontal="center" vertical="center"/>
    </xf>
    <xf numFmtId="0" fontId="19" fillId="4" borderId="58" xfId="0" applyFont="1" applyFill="1" applyBorder="1" applyAlignment="1">
      <alignment horizontal="center" vertical="center"/>
    </xf>
    <xf numFmtId="0" fontId="12" fillId="4" borderId="59" xfId="0" applyFont="1" applyFill="1" applyBorder="1" applyAlignment="1">
      <alignment horizontal="center" vertical="center" wrapText="1"/>
    </xf>
    <xf numFmtId="0" fontId="12" fillId="4" borderId="68" xfId="0" applyFont="1" applyFill="1" applyBorder="1" applyAlignment="1">
      <alignment horizontal="center" vertical="center" wrapText="1"/>
    </xf>
    <xf numFmtId="0" fontId="12" fillId="4" borderId="61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2" fillId="4" borderId="63" xfId="0" applyFont="1" applyFill="1" applyBorder="1" applyAlignment="1">
      <alignment horizontal="center" vertical="center" wrapText="1"/>
    </xf>
    <xf numFmtId="0" fontId="12" fillId="4" borderId="69" xfId="0" applyFont="1" applyFill="1" applyBorder="1" applyAlignment="1">
      <alignment horizontal="center" vertical="center" wrapText="1"/>
    </xf>
    <xf numFmtId="0" fontId="0" fillId="2" borderId="63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164" fontId="20" fillId="0" borderId="61" xfId="0" applyNumberFormat="1" applyFont="1" applyBorder="1" applyAlignment="1">
      <alignment horizontal="center"/>
    </xf>
    <xf numFmtId="164" fontId="20" fillId="0" borderId="0" xfId="0" applyNumberFormat="1" applyFont="1" applyAlignment="1">
      <alignment horizontal="center"/>
    </xf>
    <xf numFmtId="164" fontId="20" fillId="0" borderId="62" xfId="0" applyNumberFormat="1" applyFont="1" applyBorder="1" applyAlignment="1">
      <alignment horizontal="center"/>
    </xf>
    <xf numFmtId="164" fontId="20" fillId="0" borderId="57" xfId="0" applyNumberFormat="1" applyFont="1" applyBorder="1" applyAlignment="1">
      <alignment horizontal="center"/>
    </xf>
    <xf numFmtId="164" fontId="20" fillId="0" borderId="72" xfId="0" applyNumberFormat="1" applyFont="1" applyBorder="1" applyAlignment="1">
      <alignment horizontal="center"/>
    </xf>
    <xf numFmtId="164" fontId="20" fillId="0" borderId="58" xfId="0" applyNumberFormat="1" applyFont="1" applyBorder="1" applyAlignment="1">
      <alignment horizontal="center"/>
    </xf>
    <xf numFmtId="0" fontId="35" fillId="0" borderId="61" xfId="0" applyFont="1" applyBorder="1" applyAlignment="1">
      <alignment horizontal="center" vertical="center"/>
    </xf>
    <xf numFmtId="0" fontId="35" fillId="0" borderId="62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43" fillId="8" borderId="0" xfId="0" applyFont="1" applyFill="1" applyAlignment="1">
      <alignment horizontal="center" vertical="center" wrapText="1"/>
    </xf>
    <xf numFmtId="0" fontId="47" fillId="0" borderId="14" xfId="0" applyFont="1" applyBorder="1" applyAlignment="1">
      <alignment horizontal="center" vertical="center" wrapText="1"/>
    </xf>
    <xf numFmtId="0" fontId="47" fillId="0" borderId="31" xfId="0" applyFont="1" applyBorder="1" applyAlignment="1">
      <alignment horizontal="center" vertical="center" wrapText="1"/>
    </xf>
    <xf numFmtId="0" fontId="47" fillId="0" borderId="15" xfId="0" applyFont="1" applyBorder="1" applyAlignment="1">
      <alignment horizontal="center" vertical="center" wrapText="1"/>
    </xf>
    <xf numFmtId="0" fontId="47" fillId="0" borderId="16" xfId="0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7" fillId="0" borderId="17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vertical="center" wrapText="1"/>
    </xf>
    <xf numFmtId="0" fontId="47" fillId="0" borderId="2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6" fillId="0" borderId="14" xfId="0" applyFont="1" applyBorder="1" applyAlignment="1">
      <alignment horizontal="center" vertical="center" wrapText="1"/>
    </xf>
    <xf numFmtId="0" fontId="46" fillId="0" borderId="31" xfId="0" applyFont="1" applyBorder="1" applyAlignment="1">
      <alignment horizontal="center" vertical="center" wrapText="1"/>
    </xf>
    <xf numFmtId="0" fontId="46" fillId="0" borderId="15" xfId="0" applyFont="1" applyBorder="1" applyAlignment="1">
      <alignment horizontal="center" vertical="center" wrapText="1"/>
    </xf>
    <xf numFmtId="0" fontId="46" fillId="0" borderId="16" xfId="0" applyFont="1" applyBorder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46" fillId="0" borderId="17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  <xf numFmtId="0" fontId="46" fillId="0" borderId="23" xfId="0" applyFont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 wrapText="1"/>
    </xf>
    <xf numFmtId="0" fontId="48" fillId="0" borderId="16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0" fontId="48" fillId="0" borderId="18" xfId="0" applyFont="1" applyBorder="1" applyAlignment="1">
      <alignment horizontal="center" vertical="center"/>
    </xf>
    <xf numFmtId="0" fontId="48" fillId="0" borderId="23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86" xfId="0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88" xfId="0" applyFont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45" fillId="0" borderId="31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4" fillId="0" borderId="31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6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17" xfId="0" applyFont="1" applyBorder="1" applyAlignment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4" fillId="0" borderId="19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46" fillId="0" borderId="31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0" fontId="46" fillId="0" borderId="16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2" fillId="11" borderId="31" xfId="0" applyFont="1" applyFill="1" applyBorder="1" applyAlignment="1">
      <alignment horizontal="center" vertical="center"/>
    </xf>
    <xf numFmtId="0" fontId="12" fillId="11" borderId="93" xfId="0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11" borderId="89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 vertical="center"/>
    </xf>
    <xf numFmtId="0" fontId="12" fillId="11" borderId="23" xfId="0" applyFont="1" applyFill="1" applyBorder="1" applyAlignment="1">
      <alignment horizontal="center" vertical="center"/>
    </xf>
    <xf numFmtId="0" fontId="12" fillId="11" borderId="95" xfId="0" applyFont="1" applyFill="1" applyBorder="1" applyAlignment="1">
      <alignment horizontal="center" vertical="center"/>
    </xf>
    <xf numFmtId="0" fontId="12" fillId="11" borderId="92" xfId="0" applyFont="1" applyFill="1" applyBorder="1" applyAlignment="1">
      <alignment horizontal="center" vertical="center"/>
    </xf>
    <xf numFmtId="0" fontId="12" fillId="11" borderId="15" xfId="0" applyFont="1" applyFill="1" applyBorder="1" applyAlignment="1">
      <alignment horizontal="center" vertical="center"/>
    </xf>
    <xf numFmtId="0" fontId="12" fillId="11" borderId="88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2" fillId="11" borderId="94" xfId="0" applyFont="1" applyFill="1" applyBorder="1" applyAlignment="1">
      <alignment horizontal="center" vertical="center"/>
    </xf>
    <xf numFmtId="0" fontId="12" fillId="11" borderId="19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23" fillId="2" borderId="31" xfId="0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7" fillId="4" borderId="31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50" fillId="4" borderId="14" xfId="0" applyFont="1" applyFill="1" applyBorder="1" applyAlignment="1">
      <alignment horizontal="center"/>
    </xf>
    <xf numFmtId="0" fontId="50" fillId="4" borderId="31" xfId="0" applyFont="1" applyFill="1" applyBorder="1" applyAlignment="1">
      <alignment horizont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7</xdr:row>
      <xdr:rowOff>0</xdr:rowOff>
    </xdr:from>
    <xdr:to>
      <xdr:col>3</xdr:col>
      <xdr:colOff>297180</xdr:colOff>
      <xdr:row>11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C85F6DF-D125-9BAB-D6C4-05F16DEEE0C6}"/>
            </a:ext>
          </a:extLst>
        </xdr:cNvPr>
        <xdr:cNvCxnSpPr/>
      </xdr:nvCxnSpPr>
      <xdr:spPr>
        <a:xfrm>
          <a:off x="2125980" y="1645920"/>
          <a:ext cx="0" cy="7315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310399</xdr:colOff>
      <xdr:row>7</xdr:row>
      <xdr:rowOff>9175</xdr:rowOff>
    </xdr:from>
    <xdr:to>
      <xdr:col>4</xdr:col>
      <xdr:colOff>310399</xdr:colOff>
      <xdr:row>11</xdr:row>
      <xdr:rowOff>9175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89CC060-92E8-46CD-9867-D0D2680418E6}"/>
            </a:ext>
          </a:extLst>
        </xdr:cNvPr>
        <xdr:cNvCxnSpPr/>
      </xdr:nvCxnSpPr>
      <xdr:spPr>
        <a:xfrm>
          <a:off x="2751909" y="1653695"/>
          <a:ext cx="0" cy="73089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318952</xdr:colOff>
      <xdr:row>7</xdr:row>
      <xdr:rowOff>6065</xdr:rowOff>
    </xdr:from>
    <xdr:to>
      <xdr:col>5</xdr:col>
      <xdr:colOff>318952</xdr:colOff>
      <xdr:row>11</xdr:row>
      <xdr:rowOff>6065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811C69C-746D-4E92-ABDB-60145BA871E1}"/>
            </a:ext>
          </a:extLst>
        </xdr:cNvPr>
        <xdr:cNvCxnSpPr/>
      </xdr:nvCxnSpPr>
      <xdr:spPr>
        <a:xfrm>
          <a:off x="3370840" y="1650585"/>
          <a:ext cx="0" cy="73089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5149</xdr:colOff>
      <xdr:row>13</xdr:row>
      <xdr:rowOff>8041</xdr:rowOff>
    </xdr:from>
    <xdr:to>
      <xdr:col>8</xdr:col>
      <xdr:colOff>602392</xdr:colOff>
      <xdr:row>13</xdr:row>
      <xdr:rowOff>8041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C45898F-1973-AF1E-F0FE-04063460F07C}"/>
            </a:ext>
          </a:extLst>
        </xdr:cNvPr>
        <xdr:cNvCxnSpPr/>
      </xdr:nvCxnSpPr>
      <xdr:spPr>
        <a:xfrm>
          <a:off x="3637697" y="3149986"/>
          <a:ext cx="180809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13574</xdr:colOff>
      <xdr:row>12</xdr:row>
      <xdr:rowOff>177395</xdr:rowOff>
    </xdr:from>
    <xdr:to>
      <xdr:col>14</xdr:col>
      <xdr:colOff>610817</xdr:colOff>
      <xdr:row>12</xdr:row>
      <xdr:rowOff>177395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CB0A591-FE25-4AEE-B07F-FF37182D17BD}"/>
            </a:ext>
          </a:extLst>
        </xdr:cNvPr>
        <xdr:cNvCxnSpPr/>
      </xdr:nvCxnSpPr>
      <xdr:spPr>
        <a:xfrm>
          <a:off x="7356483" y="2769350"/>
          <a:ext cx="1821061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47037</xdr:colOff>
      <xdr:row>23</xdr:row>
      <xdr:rowOff>18815</xdr:rowOff>
    </xdr:from>
    <xdr:to>
      <xdr:col>10</xdr:col>
      <xdr:colOff>338666</xdr:colOff>
      <xdr:row>28</xdr:row>
      <xdr:rowOff>9407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E0B7FA14-6DEA-77B2-48B2-6CED2130F949}"/>
            </a:ext>
          </a:extLst>
        </xdr:cNvPr>
        <xdr:cNvCxnSpPr/>
      </xdr:nvCxnSpPr>
      <xdr:spPr>
        <a:xfrm flipV="1">
          <a:off x="3715926" y="4496741"/>
          <a:ext cx="2737555" cy="884296"/>
        </a:xfrm>
        <a:prstGeom prst="bentConnector3">
          <a:avLst>
            <a:gd name="adj1" fmla="val 99828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17585</xdr:colOff>
      <xdr:row>20</xdr:row>
      <xdr:rowOff>5862</xdr:rowOff>
    </xdr:from>
    <xdr:to>
      <xdr:col>14</xdr:col>
      <xdr:colOff>574431</xdr:colOff>
      <xdr:row>20</xdr:row>
      <xdr:rowOff>5862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80B3D1D-9214-2DB6-2E7E-368F385031F6}"/>
            </a:ext>
          </a:extLst>
        </xdr:cNvPr>
        <xdr:cNvCxnSpPr/>
      </xdr:nvCxnSpPr>
      <xdr:spPr>
        <a:xfrm>
          <a:off x="7332785" y="4654062"/>
          <a:ext cx="1776046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11723</xdr:colOff>
      <xdr:row>20</xdr:row>
      <xdr:rowOff>23446</xdr:rowOff>
    </xdr:from>
    <xdr:to>
      <xdr:col>19</xdr:col>
      <xdr:colOff>592015</xdr:colOff>
      <xdr:row>20</xdr:row>
      <xdr:rowOff>23446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27C0956-0488-5F1B-6C5A-B5976C71F761}"/>
            </a:ext>
          </a:extLst>
        </xdr:cNvPr>
        <xdr:cNvCxnSpPr/>
      </xdr:nvCxnSpPr>
      <xdr:spPr>
        <a:xfrm>
          <a:off x="10984523" y="4671646"/>
          <a:ext cx="118989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11097</xdr:colOff>
      <xdr:row>20</xdr:row>
      <xdr:rowOff>18495</xdr:rowOff>
    </xdr:from>
    <xdr:to>
      <xdr:col>24</xdr:col>
      <xdr:colOff>14796</xdr:colOff>
      <xdr:row>20</xdr:row>
      <xdr:rowOff>25893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B2F01C14-7F9C-40BF-AD99-7FFF4761F936}"/>
            </a:ext>
          </a:extLst>
        </xdr:cNvPr>
        <xdr:cNvCxnSpPr/>
      </xdr:nvCxnSpPr>
      <xdr:spPr>
        <a:xfrm>
          <a:off x="14048913" y="4668175"/>
          <a:ext cx="614038" cy="739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167445</xdr:colOff>
      <xdr:row>23</xdr:row>
      <xdr:rowOff>25185</xdr:rowOff>
    </xdr:from>
    <xdr:to>
      <xdr:col>25</xdr:col>
      <xdr:colOff>171994</xdr:colOff>
      <xdr:row>24</xdr:row>
      <xdr:rowOff>11675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95CA0ED-B3D5-DA9D-6754-20243C240334}"/>
            </a:ext>
          </a:extLst>
        </xdr:cNvPr>
        <xdr:cNvCxnSpPr/>
      </xdr:nvCxnSpPr>
      <xdr:spPr>
        <a:xfrm>
          <a:off x="15315638" y="5441812"/>
          <a:ext cx="4549" cy="22518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186870</xdr:colOff>
      <xdr:row>29</xdr:row>
      <xdr:rowOff>21601</xdr:rowOff>
    </xdr:from>
    <xdr:to>
      <xdr:col>25</xdr:col>
      <xdr:colOff>187435</xdr:colOff>
      <xdr:row>30</xdr:row>
      <xdr:rowOff>226979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DEE7E75-8B61-494D-81B5-04D917038941}"/>
            </a:ext>
          </a:extLst>
        </xdr:cNvPr>
        <xdr:cNvCxnSpPr/>
      </xdr:nvCxnSpPr>
      <xdr:spPr>
        <a:xfrm flipH="1">
          <a:off x="15335063" y="6870420"/>
          <a:ext cx="565" cy="44407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35170</xdr:colOff>
      <xdr:row>20</xdr:row>
      <xdr:rowOff>23447</xdr:rowOff>
    </xdr:from>
    <xdr:to>
      <xdr:col>8</xdr:col>
      <xdr:colOff>592017</xdr:colOff>
      <xdr:row>20</xdr:row>
      <xdr:rowOff>23447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B68D5F2D-83E4-421A-BDE2-FBA6FBF145AA}"/>
            </a:ext>
          </a:extLst>
        </xdr:cNvPr>
        <xdr:cNvCxnSpPr/>
      </xdr:nvCxnSpPr>
      <xdr:spPr>
        <a:xfrm>
          <a:off x="3727939" y="4654062"/>
          <a:ext cx="178777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41435</xdr:colOff>
      <xdr:row>6</xdr:row>
      <xdr:rowOff>91441</xdr:rowOff>
    </xdr:from>
    <xdr:to>
      <xdr:col>30</xdr:col>
      <xdr:colOff>278013</xdr:colOff>
      <xdr:row>21</xdr:row>
      <xdr:rowOff>120665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395679-DB6B-48A7-C0A3-D6EA853D0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3435" y="1188721"/>
          <a:ext cx="6332578" cy="3083194"/>
        </a:xfrm>
        <a:prstGeom prst="rect">
          <a:avLst/>
        </a:prstGeom>
      </xdr:spPr>
    </xdr:pic>
    <xdr:clientData/>
  </xdr:twoCellAnchor>
  <xdr:twoCellAnchor>
    <xdr:from>
      <xdr:col>11</xdr:col>
      <xdr:colOff>91440</xdr:colOff>
      <xdr:row>6</xdr:row>
      <xdr:rowOff>53340</xdr:rowOff>
    </xdr:from>
    <xdr:to>
      <xdr:col>13</xdr:col>
      <xdr:colOff>30480</xdr:colOff>
      <xdr:row>6</xdr:row>
      <xdr:rowOff>137160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39E900DB-21F3-1903-9501-642753D20C02}"/>
            </a:ext>
          </a:extLst>
        </xdr:cNvPr>
        <xdr:cNvCxnSpPr/>
      </xdr:nvCxnSpPr>
      <xdr:spPr>
        <a:xfrm rot="10800000">
          <a:off x="6797040" y="1150620"/>
          <a:ext cx="1158240" cy="83820"/>
        </a:xfrm>
        <a:prstGeom prst="bentConnector3">
          <a:avLst>
            <a:gd name="adj1" fmla="val 658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41066</xdr:colOff>
      <xdr:row>7</xdr:row>
      <xdr:rowOff>0</xdr:rowOff>
    </xdr:from>
    <xdr:to>
      <xdr:col>6</xdr:col>
      <xdr:colOff>593174</xdr:colOff>
      <xdr:row>7</xdr:row>
      <xdr:rowOff>4563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67295F2-C261-11F0-2D44-9A33A70E5CC8}"/>
            </a:ext>
          </a:extLst>
        </xdr:cNvPr>
        <xdr:cNvCxnSpPr/>
      </xdr:nvCxnSpPr>
      <xdr:spPr>
        <a:xfrm flipH="1" flipV="1">
          <a:off x="3709617" y="1277605"/>
          <a:ext cx="552108" cy="456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37171</xdr:colOff>
      <xdr:row>14</xdr:row>
      <xdr:rowOff>167269</xdr:rowOff>
    </xdr:from>
    <xdr:to>
      <xdr:col>7</xdr:col>
      <xdr:colOff>18585</xdr:colOff>
      <xdr:row>14</xdr:row>
      <xdr:rowOff>167269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32A2F84-7E92-CB81-17EB-E7049A206176}"/>
            </a:ext>
          </a:extLst>
        </xdr:cNvPr>
        <xdr:cNvCxnSpPr/>
      </xdr:nvCxnSpPr>
      <xdr:spPr>
        <a:xfrm>
          <a:off x="3717073" y="2769220"/>
          <a:ext cx="5947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31594</xdr:colOff>
      <xdr:row>14</xdr:row>
      <xdr:rowOff>124523</xdr:rowOff>
    </xdr:from>
    <xdr:to>
      <xdr:col>11</xdr:col>
      <xdr:colOff>585439</xdr:colOff>
      <xdr:row>14</xdr:row>
      <xdr:rowOff>139390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F4AC3DA-9CCE-46D5-816C-78F4261B0727}"/>
            </a:ext>
          </a:extLst>
        </xdr:cNvPr>
        <xdr:cNvCxnSpPr/>
      </xdr:nvCxnSpPr>
      <xdr:spPr>
        <a:xfrm>
          <a:off x="5551448" y="2726474"/>
          <a:ext cx="1780479" cy="1486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574431</xdr:colOff>
      <xdr:row>2</xdr:row>
      <xdr:rowOff>1</xdr:rowOff>
    </xdr:from>
    <xdr:to>
      <xdr:col>13</xdr:col>
      <xdr:colOff>302949</xdr:colOff>
      <xdr:row>14</xdr:row>
      <xdr:rowOff>134146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4B4D4E-2E50-168F-2D42-89B066DA0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478" y="502094"/>
          <a:ext cx="5096266" cy="2372730"/>
        </a:xfrm>
        <a:prstGeom prst="rect">
          <a:avLst/>
        </a:prstGeom>
      </xdr:spPr>
    </xdr:pic>
    <xdr:clientData/>
  </xdr:twoCellAnchor>
  <xdr:twoCellAnchor editAs="oneCell">
    <xdr:from>
      <xdr:col>6</xdr:col>
      <xdr:colOff>211554</xdr:colOff>
      <xdr:row>21</xdr:row>
      <xdr:rowOff>0</xdr:rowOff>
    </xdr:from>
    <xdr:to>
      <xdr:col>14</xdr:col>
      <xdr:colOff>390682</xdr:colOff>
      <xdr:row>27</xdr:row>
      <xdr:rowOff>151547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1891A7-D78F-C8D8-B011-A7C12CB20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8330" y="4571999"/>
          <a:ext cx="5055928" cy="17059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188966</xdr:colOff>
      <xdr:row>8</xdr:row>
      <xdr:rowOff>229459</xdr:rowOff>
    </xdr:from>
    <xdr:to>
      <xdr:col>14</xdr:col>
      <xdr:colOff>963749</xdr:colOff>
      <xdr:row>18</xdr:row>
      <xdr:rowOff>139101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65DDCB-2042-36EF-65D8-259BF3F8A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1836" y="3393416"/>
          <a:ext cx="7185522" cy="3603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435429</xdr:colOff>
      <xdr:row>8</xdr:row>
      <xdr:rowOff>207819</xdr:rowOff>
    </xdr:from>
    <xdr:to>
      <xdr:col>12</xdr:col>
      <xdr:colOff>346364</xdr:colOff>
      <xdr:row>16</xdr:row>
      <xdr:rowOff>79170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D261B7A5-CA8A-B93A-3C81-9C6C2D58DA72}"/>
            </a:ext>
          </a:extLst>
        </xdr:cNvPr>
        <xdr:cNvCxnSpPr/>
      </xdr:nvCxnSpPr>
      <xdr:spPr>
        <a:xfrm rot="5400000" flipH="1" flipV="1">
          <a:off x="15338961" y="3810001"/>
          <a:ext cx="1395351" cy="524493"/>
        </a:xfrm>
        <a:prstGeom prst="bentConnector3">
          <a:avLst>
            <a:gd name="adj1" fmla="val 99645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245533</xdr:colOff>
      <xdr:row>9</xdr:row>
      <xdr:rowOff>270933</xdr:rowOff>
    </xdr:from>
    <xdr:to>
      <xdr:col>9</xdr:col>
      <xdr:colOff>330200</xdr:colOff>
      <xdr:row>9</xdr:row>
      <xdr:rowOff>270933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68E7931-7627-7333-8F0A-4E784492AAB4}"/>
            </a:ext>
          </a:extLst>
        </xdr:cNvPr>
        <xdr:cNvCxnSpPr/>
      </xdr:nvCxnSpPr>
      <xdr:spPr>
        <a:xfrm>
          <a:off x="10490200" y="4461933"/>
          <a:ext cx="2760133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263073</xdr:colOff>
      <xdr:row>38</xdr:row>
      <xdr:rowOff>27215</xdr:rowOff>
    </xdr:from>
    <xdr:to>
      <xdr:col>12</xdr:col>
      <xdr:colOff>353787</xdr:colOff>
      <xdr:row>57</xdr:row>
      <xdr:rowOff>136072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33E1AEE-139B-BB23-0F9B-2111A1B7C418}"/>
            </a:ext>
          </a:extLst>
        </xdr:cNvPr>
        <xdr:cNvSpPr/>
      </xdr:nvSpPr>
      <xdr:spPr>
        <a:xfrm rot="16200000">
          <a:off x="5624288" y="8345715"/>
          <a:ext cx="3556000" cy="70757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500">
              <a:latin typeface="Times New Roman" panose="02020603050405020304" pitchFamily="18" charset="0"/>
              <a:cs typeface="Times New Roman" panose="02020603050405020304" pitchFamily="18" charset="0"/>
            </a:rPr>
            <a:t>OUTLET STORE</a:t>
          </a:r>
        </a:p>
        <a:p>
          <a:pPr algn="l"/>
          <a:endParaRPr lang="en-IN" sz="35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freightpros.com/blog/standard-pallet-size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C357-7888-4FC6-BBDC-3723F9066EE9}">
  <dimension ref="B1:H19"/>
  <sheetViews>
    <sheetView zoomScale="54" zoomScaleNormal="100" workbookViewId="0">
      <selection activeCell="E23" sqref="E23"/>
    </sheetView>
  </sheetViews>
  <sheetFormatPr defaultRowHeight="18.600000000000001" x14ac:dyDescent="0.3"/>
  <cols>
    <col min="1" max="1" width="38.109375" style="2" bestFit="1" customWidth="1"/>
    <col min="2" max="2" width="39" style="2" bestFit="1" customWidth="1"/>
    <col min="3" max="3" width="15.88671875" style="2" customWidth="1"/>
    <col min="4" max="4" width="20.21875" style="2" bestFit="1" customWidth="1"/>
    <col min="5" max="5" width="21.21875" style="2" bestFit="1" customWidth="1"/>
    <col min="6" max="6" width="43.77734375" style="2" bestFit="1" customWidth="1"/>
    <col min="7" max="7" width="40.5546875" style="2" bestFit="1" customWidth="1"/>
    <col min="8" max="9" width="15.88671875" style="2" customWidth="1"/>
    <col min="10" max="16384" width="8.88671875" style="2"/>
  </cols>
  <sheetData>
    <row r="1" spans="2:8" ht="53.4" customHeight="1" thickTop="1" thickBot="1" x14ac:dyDescent="0.35">
      <c r="B1" s="414" t="s">
        <v>0</v>
      </c>
      <c r="C1" s="415"/>
      <c r="D1" s="415"/>
      <c r="E1" s="415"/>
      <c r="F1" s="415"/>
      <c r="G1" s="415"/>
      <c r="H1" s="416"/>
    </row>
    <row r="2" spans="2:8" ht="13.2" customHeight="1" thickTop="1" thickBot="1" x14ac:dyDescent="0.35">
      <c r="B2" s="3"/>
      <c r="C2" s="4"/>
      <c r="D2" s="4"/>
      <c r="E2" s="4"/>
      <c r="F2" s="4"/>
      <c r="G2" s="4"/>
      <c r="H2" s="5"/>
    </row>
    <row r="3" spans="2:8" ht="19.8" thickTop="1" thickBot="1" x14ac:dyDescent="0.35">
      <c r="B3" s="6" t="s">
        <v>1</v>
      </c>
      <c r="C3" s="7" t="s">
        <v>2</v>
      </c>
      <c r="D3" s="7" t="s">
        <v>3</v>
      </c>
      <c r="E3" s="7" t="s">
        <v>4</v>
      </c>
      <c r="F3" s="8" t="s">
        <v>15</v>
      </c>
      <c r="G3" s="8" t="s">
        <v>9</v>
      </c>
      <c r="H3" s="9"/>
    </row>
    <row r="4" spans="2:8" ht="19.2" thickTop="1" x14ac:dyDescent="0.3">
      <c r="B4" s="423" t="s">
        <v>5</v>
      </c>
      <c r="C4" s="425" t="s">
        <v>8</v>
      </c>
      <c r="D4" s="425">
        <v>0.5</v>
      </c>
      <c r="E4" s="425">
        <v>17.5</v>
      </c>
      <c r="F4" s="423">
        <v>50</v>
      </c>
      <c r="G4" s="426">
        <f>F4*E4</f>
        <v>875</v>
      </c>
      <c r="H4" s="428" t="s">
        <v>13</v>
      </c>
    </row>
    <row r="5" spans="2:8" ht="19.2" thickBot="1" x14ac:dyDescent="0.35">
      <c r="B5" s="424"/>
      <c r="C5" s="424"/>
      <c r="D5" s="424"/>
      <c r="E5" s="424"/>
      <c r="F5" s="424"/>
      <c r="G5" s="427"/>
      <c r="H5" s="429"/>
    </row>
    <row r="6" spans="2:8" ht="35.4" customHeight="1" thickTop="1" thickBot="1" x14ac:dyDescent="0.35">
      <c r="B6" s="26" t="s">
        <v>6</v>
      </c>
      <c r="C6" s="13" t="s">
        <v>10</v>
      </c>
      <c r="D6" s="13">
        <v>3</v>
      </c>
      <c r="E6" s="13">
        <v>48</v>
      </c>
      <c r="F6" s="13">
        <v>72</v>
      </c>
      <c r="G6" s="14">
        <f t="shared" ref="G6" si="0">F6*E6</f>
        <v>3456</v>
      </c>
      <c r="H6" s="15" t="s">
        <v>13</v>
      </c>
    </row>
    <row r="7" spans="2:8" ht="35.4" customHeight="1" thickTop="1" thickBot="1" x14ac:dyDescent="0.35">
      <c r="B7" s="16" t="s">
        <v>7</v>
      </c>
      <c r="C7" s="17" t="s">
        <v>11</v>
      </c>
      <c r="D7" s="17">
        <v>2</v>
      </c>
      <c r="E7" s="17">
        <f>250/66</f>
        <v>3.7878787878787881</v>
      </c>
      <c r="F7" s="17">
        <v>66</v>
      </c>
      <c r="G7" s="18">
        <v>250</v>
      </c>
      <c r="H7" s="19" t="s">
        <v>12</v>
      </c>
    </row>
    <row r="8" spans="2:8" ht="39.6" customHeight="1" thickTop="1" thickBot="1" x14ac:dyDescent="0.35">
      <c r="B8" s="20"/>
      <c r="C8" s="21"/>
      <c r="D8" s="21"/>
      <c r="E8" s="21"/>
      <c r="F8" s="21"/>
      <c r="G8" s="21"/>
      <c r="H8" s="22"/>
    </row>
    <row r="9" spans="2:8" ht="53.4" customHeight="1" thickTop="1" thickBot="1" x14ac:dyDescent="0.35">
      <c r="B9" s="417" t="s">
        <v>14</v>
      </c>
      <c r="C9" s="418"/>
      <c r="D9" s="418"/>
      <c r="E9" s="418"/>
      <c r="F9" s="418"/>
      <c r="G9" s="418"/>
      <c r="H9" s="419"/>
    </row>
    <row r="10" spans="2:8" ht="14.4" customHeight="1" thickTop="1" thickBot="1" x14ac:dyDescent="0.35">
      <c r="B10" s="420"/>
      <c r="C10" s="421"/>
      <c r="D10" s="421"/>
      <c r="E10" s="421"/>
      <c r="F10" s="421"/>
      <c r="G10" s="421"/>
      <c r="H10" s="422"/>
    </row>
    <row r="11" spans="2:8" ht="19.8" thickTop="1" thickBot="1" x14ac:dyDescent="0.35">
      <c r="B11" s="28" t="s">
        <v>1</v>
      </c>
      <c r="C11" s="29" t="s">
        <v>2</v>
      </c>
      <c r="D11" s="29" t="s">
        <v>3</v>
      </c>
      <c r="E11" s="28" t="s">
        <v>4</v>
      </c>
      <c r="F11" s="30" t="s">
        <v>15</v>
      </c>
      <c r="G11" s="29" t="s">
        <v>9</v>
      </c>
      <c r="H11" s="31"/>
    </row>
    <row r="12" spans="2:8" ht="19.8" thickTop="1" thickBot="1" x14ac:dyDescent="0.35">
      <c r="B12" s="23"/>
      <c r="C12" s="11"/>
      <c r="D12" s="11"/>
      <c r="F12" s="11"/>
      <c r="H12" s="12"/>
    </row>
    <row r="13" spans="2:8" ht="19.8" thickTop="1" thickBot="1" x14ac:dyDescent="0.35">
      <c r="B13" s="13" t="s">
        <v>5</v>
      </c>
      <c r="C13" s="15" t="s">
        <v>8</v>
      </c>
      <c r="D13" s="13">
        <v>1.2</v>
      </c>
      <c r="E13" s="14">
        <v>32</v>
      </c>
      <c r="F13" s="13">
        <v>50</v>
      </c>
      <c r="G13" s="24">
        <f>F13*E13</f>
        <v>1600</v>
      </c>
      <c r="H13" s="15" t="s">
        <v>13</v>
      </c>
    </row>
    <row r="14" spans="2:8" ht="38.4" thickTop="1" thickBot="1" x14ac:dyDescent="0.35">
      <c r="B14" s="25" t="s">
        <v>6</v>
      </c>
      <c r="C14" s="10" t="s">
        <v>10</v>
      </c>
      <c r="D14" s="10">
        <v>5</v>
      </c>
      <c r="E14" s="14">
        <v>87.5</v>
      </c>
      <c r="F14" s="13">
        <v>72</v>
      </c>
      <c r="G14" s="24">
        <f t="shared" ref="G14" si="1">F14*E14</f>
        <v>6300</v>
      </c>
      <c r="H14" s="15" t="s">
        <v>13</v>
      </c>
    </row>
    <row r="15" spans="2:8" ht="57" thickTop="1" thickBot="1" x14ac:dyDescent="0.35">
      <c r="B15" s="26" t="s">
        <v>7</v>
      </c>
      <c r="C15" s="13" t="s">
        <v>11</v>
      </c>
      <c r="D15" s="13">
        <v>3</v>
      </c>
      <c r="E15" s="27">
        <f>500/66</f>
        <v>7.5757575757575761</v>
      </c>
      <c r="F15" s="17">
        <v>66</v>
      </c>
      <c r="G15" s="27">
        <f>F15*E15</f>
        <v>500</v>
      </c>
      <c r="H15" s="19" t="s">
        <v>12</v>
      </c>
    </row>
    <row r="16" spans="2:8" ht="19.8" thickTop="1" thickBot="1" x14ac:dyDescent="0.35">
      <c r="B16" s="18"/>
      <c r="C16" s="27"/>
      <c r="D16" s="27"/>
      <c r="E16" s="27"/>
      <c r="F16" s="27"/>
      <c r="G16" s="27"/>
      <c r="H16" s="19"/>
    </row>
    <row r="17" s="2" customFormat="1" ht="19.2" thickTop="1" x14ac:dyDescent="0.3"/>
    <row r="19" s="2" customFormat="1" ht="30.6" customHeight="1" x14ac:dyDescent="0.3"/>
  </sheetData>
  <mergeCells count="10">
    <mergeCell ref="B1:H1"/>
    <mergeCell ref="B9:H9"/>
    <mergeCell ref="B10:H10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3FB9-6795-4291-A7D0-2F3EFC5F392E}">
  <dimension ref="A1:K17"/>
  <sheetViews>
    <sheetView topLeftCell="A2" zoomScale="54" workbookViewId="0">
      <selection activeCell="J24" sqref="J24"/>
    </sheetView>
  </sheetViews>
  <sheetFormatPr defaultRowHeight="14.4" x14ac:dyDescent="0.3"/>
  <cols>
    <col min="1" max="1" width="26.88671875" bestFit="1" customWidth="1"/>
    <col min="3" max="3" width="56.44140625" customWidth="1"/>
    <col min="4" max="4" width="26.6640625" style="59" bestFit="1" customWidth="1"/>
    <col min="5" max="5" width="16.33203125" style="59" bestFit="1" customWidth="1"/>
    <col min="6" max="6" width="19" bestFit="1" customWidth="1"/>
    <col min="7" max="7" width="21.21875" customWidth="1"/>
    <col min="11" max="11" width="62.77734375" customWidth="1"/>
  </cols>
  <sheetData>
    <row r="1" spans="1:11" x14ac:dyDescent="0.3">
      <c r="A1" s="750" t="s">
        <v>279</v>
      </c>
      <c r="B1" s="750"/>
    </row>
    <row r="2" spans="1:11" x14ac:dyDescent="0.3">
      <c r="A2" s="750"/>
      <c r="B2" s="750"/>
    </row>
    <row r="3" spans="1:11" x14ac:dyDescent="0.3">
      <c r="A3" s="750"/>
      <c r="B3" s="750"/>
    </row>
    <row r="4" spans="1:11" ht="15" thickBot="1" x14ac:dyDescent="0.35">
      <c r="A4" s="750"/>
      <c r="B4" s="750"/>
    </row>
    <row r="5" spans="1:11" ht="21" customHeight="1" thickTop="1" thickBot="1" x14ac:dyDescent="0.35">
      <c r="C5" s="295"/>
      <c r="D5" s="292"/>
      <c r="E5" s="152"/>
      <c r="F5" s="148"/>
    </row>
    <row r="6" spans="1:11" ht="51.6" customHeight="1" thickTop="1" thickBot="1" x14ac:dyDescent="0.35">
      <c r="C6" s="333" t="s">
        <v>273</v>
      </c>
      <c r="D6" s="333" t="s">
        <v>274</v>
      </c>
      <c r="E6" s="333" t="s">
        <v>275</v>
      </c>
      <c r="F6" s="334" t="s">
        <v>132</v>
      </c>
    </row>
    <row r="7" spans="1:11" ht="79.2" customHeight="1" thickTop="1" thickBot="1" x14ac:dyDescent="0.35">
      <c r="C7" s="335" t="s">
        <v>278</v>
      </c>
      <c r="D7" s="335">
        <v>45</v>
      </c>
      <c r="E7" s="340">
        <v>950</v>
      </c>
      <c r="F7" s="341">
        <f>D7*E7</f>
        <v>42750</v>
      </c>
    </row>
    <row r="8" spans="1:11" ht="79.2" customHeight="1" thickTop="1" thickBot="1" x14ac:dyDescent="0.35">
      <c r="C8" s="335" t="s">
        <v>280</v>
      </c>
      <c r="D8" s="335">
        <v>3</v>
      </c>
      <c r="E8" s="340">
        <v>2000</v>
      </c>
      <c r="F8" s="341">
        <f>E8*D8</f>
        <v>6000</v>
      </c>
      <c r="K8" s="296" t="s">
        <v>266</v>
      </c>
    </row>
    <row r="9" spans="1:11" ht="65.400000000000006" customHeight="1" thickTop="1" thickBot="1" x14ac:dyDescent="0.35">
      <c r="C9" s="336" t="s">
        <v>276</v>
      </c>
      <c r="D9" s="337">
        <v>45</v>
      </c>
      <c r="E9" s="337">
        <v>150</v>
      </c>
      <c r="F9" s="338">
        <f>D9*E9</f>
        <v>6750</v>
      </c>
      <c r="K9" s="293" t="s">
        <v>267</v>
      </c>
    </row>
    <row r="10" spans="1:11" ht="39" customHeight="1" thickTop="1" thickBot="1" x14ac:dyDescent="0.35">
      <c r="C10" s="336" t="s">
        <v>272</v>
      </c>
      <c r="D10" s="337" t="s">
        <v>277</v>
      </c>
      <c r="E10" s="337" t="s">
        <v>277</v>
      </c>
      <c r="F10" s="338">
        <v>200000</v>
      </c>
      <c r="K10" s="294" t="s">
        <v>268</v>
      </c>
    </row>
    <row r="11" spans="1:11" ht="39" customHeight="1" thickTop="1" thickBot="1" x14ac:dyDescent="0.35">
      <c r="C11" s="335" t="s">
        <v>66</v>
      </c>
      <c r="D11" s="339"/>
      <c r="E11" s="339"/>
      <c r="F11" s="341">
        <f>SUM(F7:F10)</f>
        <v>255500</v>
      </c>
      <c r="K11" s="294" t="s">
        <v>269</v>
      </c>
    </row>
    <row r="12" spans="1:11" ht="39" customHeight="1" thickTop="1" x14ac:dyDescent="0.3">
      <c r="C12" s="150"/>
      <c r="D12" s="297"/>
      <c r="E12" s="297"/>
      <c r="F12" s="150"/>
    </row>
    <row r="13" spans="1:11" ht="39" customHeight="1" x14ac:dyDescent="0.3"/>
    <row r="14" spans="1:11" ht="39" customHeight="1" x14ac:dyDescent="0.3"/>
    <row r="15" spans="1:11" ht="39" customHeight="1" x14ac:dyDescent="0.3"/>
    <row r="16" spans="1:11" x14ac:dyDescent="0.3">
      <c r="C16" s="291" t="s">
        <v>270</v>
      </c>
    </row>
    <row r="17" spans="3:3" x14ac:dyDescent="0.3">
      <c r="C17" s="291" t="s">
        <v>271</v>
      </c>
    </row>
  </sheetData>
  <mergeCells count="1">
    <mergeCell ref="A1:B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9FA7-AFE1-4E17-A3DE-A524FDF3D1AC}">
  <sheetPr>
    <pageSetUpPr fitToPage="1"/>
  </sheetPr>
  <dimension ref="A1:AF60"/>
  <sheetViews>
    <sheetView zoomScale="42" zoomScaleNormal="100" workbookViewId="0">
      <selection activeCell="AA62" sqref="AA62"/>
    </sheetView>
  </sheetViews>
  <sheetFormatPr defaultRowHeight="13.8" x14ac:dyDescent="0.25"/>
  <cols>
    <col min="1" max="15" width="8.88671875" style="304"/>
    <col min="16" max="16" width="8.88671875" style="304" customWidth="1"/>
    <col min="17" max="17" width="8.88671875" style="304"/>
    <col min="18" max="18" width="14.77734375" style="304" customWidth="1"/>
    <col min="19" max="26" width="8.88671875" style="304"/>
    <col min="27" max="27" width="21.33203125" style="304" customWidth="1"/>
    <col min="28" max="31" width="8.88671875" style="304"/>
    <col min="32" max="32" width="14.44140625" style="304" customWidth="1"/>
    <col min="33" max="16384" width="8.88671875" style="304"/>
  </cols>
  <sheetData>
    <row r="1" spans="1:32" ht="14.4" thickBot="1" x14ac:dyDescent="0.3">
      <c r="A1" s="303"/>
      <c r="R1" s="305"/>
    </row>
    <row r="2" spans="1:32" ht="14.4" thickTop="1" x14ac:dyDescent="0.25">
      <c r="B2" s="310"/>
      <c r="C2" s="311"/>
      <c r="D2" s="311"/>
      <c r="E2" s="311"/>
      <c r="F2" s="311"/>
      <c r="G2" s="311"/>
      <c r="H2" s="311"/>
      <c r="I2" s="311"/>
      <c r="J2" s="311"/>
      <c r="K2" s="793" t="s">
        <v>281</v>
      </c>
      <c r="L2" s="794"/>
      <c r="M2" s="794"/>
      <c r="N2" s="794"/>
      <c r="O2" s="794"/>
      <c r="P2" s="794"/>
      <c r="Q2" s="794"/>
      <c r="R2" s="795"/>
      <c r="S2" s="787" t="s">
        <v>70</v>
      </c>
      <c r="T2" s="787"/>
      <c r="U2" s="787"/>
      <c r="V2" s="787"/>
      <c r="W2" s="787"/>
      <c r="X2" s="787"/>
      <c r="Y2" s="787"/>
      <c r="Z2" s="787"/>
      <c r="AA2" s="787"/>
      <c r="AB2" s="787"/>
      <c r="AC2" s="787"/>
      <c r="AD2" s="787"/>
      <c r="AE2" s="787"/>
      <c r="AF2" s="788"/>
    </row>
    <row r="3" spans="1:32" x14ac:dyDescent="0.25">
      <c r="B3" s="312"/>
      <c r="K3" s="796"/>
      <c r="L3" s="797"/>
      <c r="M3" s="797"/>
      <c r="N3" s="797"/>
      <c r="O3" s="797"/>
      <c r="P3" s="797"/>
      <c r="Q3" s="797"/>
      <c r="R3" s="798"/>
      <c r="S3" s="789"/>
      <c r="T3" s="789"/>
      <c r="U3" s="789"/>
      <c r="V3" s="789"/>
      <c r="W3" s="789"/>
      <c r="X3" s="789"/>
      <c r="Y3" s="789"/>
      <c r="Z3" s="789"/>
      <c r="AA3" s="789"/>
      <c r="AB3" s="789"/>
      <c r="AC3" s="789"/>
      <c r="AD3" s="789"/>
      <c r="AE3" s="789"/>
      <c r="AF3" s="790"/>
    </row>
    <row r="4" spans="1:32" x14ac:dyDescent="0.25">
      <c r="B4" s="312"/>
      <c r="K4" s="796"/>
      <c r="L4" s="797"/>
      <c r="M4" s="797"/>
      <c r="N4" s="797"/>
      <c r="O4" s="797"/>
      <c r="P4" s="797"/>
      <c r="Q4" s="797"/>
      <c r="R4" s="798"/>
      <c r="S4" s="789"/>
      <c r="T4" s="789"/>
      <c r="U4" s="789"/>
      <c r="V4" s="789"/>
      <c r="W4" s="789"/>
      <c r="X4" s="789"/>
      <c r="Y4" s="789"/>
      <c r="Z4" s="789"/>
      <c r="AA4" s="789"/>
      <c r="AB4" s="789"/>
      <c r="AC4" s="789"/>
      <c r="AD4" s="789"/>
      <c r="AE4" s="789"/>
      <c r="AF4" s="790"/>
    </row>
    <row r="5" spans="1:32" x14ac:dyDescent="0.25">
      <c r="B5" s="312"/>
      <c r="K5" s="796"/>
      <c r="L5" s="797"/>
      <c r="M5" s="797"/>
      <c r="N5" s="797"/>
      <c r="O5" s="797"/>
      <c r="P5" s="797"/>
      <c r="Q5" s="797"/>
      <c r="R5" s="798"/>
      <c r="S5" s="789"/>
      <c r="T5" s="789"/>
      <c r="U5" s="789"/>
      <c r="V5" s="789"/>
      <c r="W5" s="789"/>
      <c r="X5" s="789"/>
      <c r="Y5" s="789"/>
      <c r="Z5" s="789"/>
      <c r="AA5" s="789"/>
      <c r="AB5" s="789"/>
      <c r="AC5" s="789"/>
      <c r="AD5" s="789"/>
      <c r="AE5" s="789"/>
      <c r="AF5" s="790"/>
    </row>
    <row r="6" spans="1:32" x14ac:dyDescent="0.25">
      <c r="B6" s="312"/>
      <c r="K6" s="796"/>
      <c r="L6" s="797"/>
      <c r="M6" s="797"/>
      <c r="N6" s="797"/>
      <c r="O6" s="797"/>
      <c r="P6" s="797"/>
      <c r="Q6" s="797"/>
      <c r="R6" s="798"/>
      <c r="S6" s="789"/>
      <c r="T6" s="789"/>
      <c r="U6" s="789"/>
      <c r="V6" s="789"/>
      <c r="W6" s="789"/>
      <c r="X6" s="789"/>
      <c r="Y6" s="789"/>
      <c r="Z6" s="789"/>
      <c r="AA6" s="789"/>
      <c r="AB6" s="789"/>
      <c r="AC6" s="789"/>
      <c r="AD6" s="789"/>
      <c r="AE6" s="789"/>
      <c r="AF6" s="790"/>
    </row>
    <row r="7" spans="1:32" x14ac:dyDescent="0.25">
      <c r="B7" s="312"/>
      <c r="K7" s="796"/>
      <c r="L7" s="797"/>
      <c r="M7" s="797"/>
      <c r="N7" s="797"/>
      <c r="O7" s="797"/>
      <c r="P7" s="797"/>
      <c r="Q7" s="797"/>
      <c r="R7" s="798"/>
      <c r="S7" s="789"/>
      <c r="T7" s="789"/>
      <c r="U7" s="789"/>
      <c r="V7" s="789"/>
      <c r="W7" s="789"/>
      <c r="X7" s="789"/>
      <c r="Y7" s="789"/>
      <c r="Z7" s="789"/>
      <c r="AA7" s="789"/>
      <c r="AB7" s="789"/>
      <c r="AC7" s="789"/>
      <c r="AD7" s="789"/>
      <c r="AE7" s="789"/>
      <c r="AF7" s="790"/>
    </row>
    <row r="8" spans="1:32" ht="14.4" thickBot="1" x14ac:dyDescent="0.3">
      <c r="B8" s="312"/>
      <c r="K8" s="796"/>
      <c r="L8" s="797"/>
      <c r="M8" s="797"/>
      <c r="N8" s="797"/>
      <c r="O8" s="797"/>
      <c r="P8" s="797"/>
      <c r="Q8" s="797"/>
      <c r="R8" s="798"/>
      <c r="S8" s="791"/>
      <c r="T8" s="791"/>
      <c r="U8" s="791"/>
      <c r="V8" s="791"/>
      <c r="W8" s="791"/>
      <c r="X8" s="791"/>
      <c r="Y8" s="791"/>
      <c r="Z8" s="791"/>
      <c r="AA8" s="791"/>
      <c r="AB8" s="791"/>
      <c r="AC8" s="791"/>
      <c r="AD8" s="791"/>
      <c r="AE8" s="791"/>
      <c r="AF8" s="792"/>
    </row>
    <row r="9" spans="1:32" ht="14.4" thickTop="1" x14ac:dyDescent="0.25">
      <c r="B9" s="312"/>
      <c r="K9" s="796"/>
      <c r="L9" s="797"/>
      <c r="M9" s="797"/>
      <c r="N9" s="797"/>
      <c r="O9" s="797"/>
      <c r="P9" s="797"/>
      <c r="Q9" s="797"/>
      <c r="R9" s="798"/>
      <c r="S9" s="307"/>
      <c r="T9" s="307"/>
      <c r="U9" s="307"/>
      <c r="V9" s="307"/>
      <c r="W9" s="307"/>
      <c r="X9" s="307"/>
      <c r="Y9" s="793" t="s">
        <v>282</v>
      </c>
      <c r="Z9" s="794"/>
      <c r="AA9" s="794"/>
      <c r="AB9" s="794"/>
      <c r="AC9" s="794"/>
      <c r="AD9" s="794"/>
      <c r="AE9" s="794"/>
      <c r="AF9" s="795"/>
    </row>
    <row r="10" spans="1:32" x14ac:dyDescent="0.25">
      <c r="B10" s="312"/>
      <c r="K10" s="796"/>
      <c r="L10" s="797"/>
      <c r="M10" s="797"/>
      <c r="N10" s="797"/>
      <c r="O10" s="797"/>
      <c r="P10" s="797"/>
      <c r="Q10" s="797"/>
      <c r="R10" s="798"/>
      <c r="S10" s="307"/>
      <c r="T10" s="307"/>
      <c r="U10" s="307"/>
      <c r="V10" s="307"/>
      <c r="W10" s="307"/>
      <c r="X10" s="307"/>
      <c r="Y10" s="796"/>
      <c r="Z10" s="797"/>
      <c r="AA10" s="797"/>
      <c r="AB10" s="797"/>
      <c r="AC10" s="797"/>
      <c r="AD10" s="797"/>
      <c r="AE10" s="797"/>
      <c r="AF10" s="798"/>
    </row>
    <row r="11" spans="1:32" x14ac:dyDescent="0.25">
      <c r="B11" s="312"/>
      <c r="K11" s="796"/>
      <c r="L11" s="797"/>
      <c r="M11" s="797"/>
      <c r="N11" s="797"/>
      <c r="O11" s="797"/>
      <c r="P11" s="797"/>
      <c r="Q11" s="797"/>
      <c r="R11" s="798"/>
      <c r="S11" s="307"/>
      <c r="T11" s="307"/>
      <c r="U11" s="307"/>
      <c r="V11" s="307"/>
      <c r="W11" s="307"/>
      <c r="X11" s="307"/>
      <c r="Y11" s="796"/>
      <c r="Z11" s="797"/>
      <c r="AA11" s="797"/>
      <c r="AB11" s="797"/>
      <c r="AC11" s="797"/>
      <c r="AD11" s="797"/>
      <c r="AE11" s="797"/>
      <c r="AF11" s="798"/>
    </row>
    <row r="12" spans="1:32" x14ac:dyDescent="0.25">
      <c r="B12" s="312"/>
      <c r="K12" s="796"/>
      <c r="L12" s="797"/>
      <c r="M12" s="797"/>
      <c r="N12" s="797"/>
      <c r="O12" s="797"/>
      <c r="P12" s="797"/>
      <c r="Q12" s="797"/>
      <c r="R12" s="798"/>
      <c r="S12" s="307"/>
      <c r="T12" s="307"/>
      <c r="U12" s="307"/>
      <c r="V12" s="307"/>
      <c r="W12" s="307"/>
      <c r="X12" s="307"/>
      <c r="Y12" s="796"/>
      <c r="Z12" s="797"/>
      <c r="AA12" s="797"/>
      <c r="AB12" s="797"/>
      <c r="AC12" s="797"/>
      <c r="AD12" s="797"/>
      <c r="AE12" s="797"/>
      <c r="AF12" s="798"/>
    </row>
    <row r="13" spans="1:32" x14ac:dyDescent="0.25">
      <c r="B13" s="312"/>
      <c r="K13" s="796"/>
      <c r="L13" s="797"/>
      <c r="M13" s="797"/>
      <c r="N13" s="797"/>
      <c r="O13" s="797"/>
      <c r="P13" s="797"/>
      <c r="Q13" s="797"/>
      <c r="R13" s="798"/>
      <c r="S13" s="307"/>
      <c r="T13" s="307"/>
      <c r="U13" s="307"/>
      <c r="V13" s="307"/>
      <c r="W13" s="307"/>
      <c r="X13" s="307"/>
      <c r="Y13" s="796"/>
      <c r="Z13" s="797"/>
      <c r="AA13" s="797"/>
      <c r="AB13" s="797"/>
      <c r="AC13" s="797"/>
      <c r="AD13" s="797"/>
      <c r="AE13" s="797"/>
      <c r="AF13" s="798"/>
    </row>
    <row r="14" spans="1:32" x14ac:dyDescent="0.25">
      <c r="B14" s="312"/>
      <c r="K14" s="796"/>
      <c r="L14" s="797"/>
      <c r="M14" s="797"/>
      <c r="N14" s="797"/>
      <c r="O14" s="797"/>
      <c r="P14" s="797"/>
      <c r="Q14" s="797"/>
      <c r="R14" s="798"/>
      <c r="S14" s="307"/>
      <c r="T14" s="307"/>
      <c r="U14" s="307"/>
      <c r="V14" s="307"/>
      <c r="W14" s="307"/>
      <c r="X14" s="307"/>
      <c r="Y14" s="796"/>
      <c r="Z14" s="797"/>
      <c r="AA14" s="797"/>
      <c r="AB14" s="797"/>
      <c r="AC14" s="797"/>
      <c r="AD14" s="797"/>
      <c r="AE14" s="797"/>
      <c r="AF14" s="798"/>
    </row>
    <row r="15" spans="1:32" x14ac:dyDescent="0.25">
      <c r="B15" s="312"/>
      <c r="K15" s="796"/>
      <c r="L15" s="797"/>
      <c r="M15" s="797"/>
      <c r="N15" s="797"/>
      <c r="O15" s="797"/>
      <c r="P15" s="797"/>
      <c r="Q15" s="797"/>
      <c r="R15" s="798"/>
      <c r="S15" s="307"/>
      <c r="T15" s="307"/>
      <c r="U15" s="307"/>
      <c r="V15" s="307"/>
      <c r="W15" s="307"/>
      <c r="X15" s="307"/>
      <c r="Y15" s="796"/>
      <c r="Z15" s="797"/>
      <c r="AA15" s="797"/>
      <c r="AB15" s="797"/>
      <c r="AC15" s="797"/>
      <c r="AD15" s="797"/>
      <c r="AE15" s="797"/>
      <c r="AF15" s="798"/>
    </row>
    <row r="16" spans="1:32" ht="14.4" thickBot="1" x14ac:dyDescent="0.3">
      <c r="B16" s="312"/>
      <c r="K16" s="799"/>
      <c r="L16" s="800"/>
      <c r="M16" s="800"/>
      <c r="N16" s="800"/>
      <c r="O16" s="800"/>
      <c r="P16" s="800"/>
      <c r="Q16" s="800"/>
      <c r="R16" s="801"/>
      <c r="S16" s="307"/>
      <c r="T16" s="307"/>
      <c r="U16" s="307"/>
      <c r="V16" s="307"/>
      <c r="W16" s="307"/>
      <c r="X16" s="307"/>
      <c r="Y16" s="796"/>
      <c r="Z16" s="797"/>
      <c r="AA16" s="797"/>
      <c r="AB16" s="797"/>
      <c r="AC16" s="797"/>
      <c r="AD16" s="797"/>
      <c r="AE16" s="797"/>
      <c r="AF16" s="798"/>
    </row>
    <row r="17" spans="2:32" ht="13.8" customHeight="1" thickTop="1" thickBot="1" x14ac:dyDescent="0.3">
      <c r="B17" s="312"/>
      <c r="C17" s="751" t="s">
        <v>287</v>
      </c>
      <c r="D17" s="752"/>
      <c r="E17" s="752"/>
      <c r="F17" s="752"/>
      <c r="G17" s="752"/>
      <c r="H17" s="752"/>
      <c r="I17" s="753"/>
      <c r="K17" s="319"/>
      <c r="L17" s="307"/>
      <c r="M17" s="307"/>
      <c r="N17" s="307"/>
      <c r="O17" s="308"/>
      <c r="P17" s="306"/>
      <c r="Q17" s="309"/>
      <c r="R17" s="313"/>
      <c r="S17" s="307"/>
      <c r="T17" s="307"/>
      <c r="U17" s="307"/>
      <c r="V17" s="307"/>
      <c r="W17" s="307"/>
      <c r="X17" s="307"/>
      <c r="Y17" s="796"/>
      <c r="Z17" s="797"/>
      <c r="AA17" s="797"/>
      <c r="AB17" s="797"/>
      <c r="AC17" s="797"/>
      <c r="AD17" s="797"/>
      <c r="AE17" s="797"/>
      <c r="AF17" s="798"/>
    </row>
    <row r="18" spans="2:32" ht="13.8" customHeight="1" thickTop="1" x14ac:dyDescent="0.25">
      <c r="B18" s="312"/>
      <c r="C18" s="754"/>
      <c r="D18" s="755"/>
      <c r="E18" s="755"/>
      <c r="F18" s="755"/>
      <c r="G18" s="755"/>
      <c r="H18" s="755"/>
      <c r="I18" s="756"/>
      <c r="K18" s="811" t="s">
        <v>283</v>
      </c>
      <c r="L18" s="812"/>
      <c r="M18" s="812"/>
      <c r="N18" s="812"/>
      <c r="O18" s="813"/>
      <c r="P18" s="320"/>
      <c r="Q18" s="820" t="s">
        <v>284</v>
      </c>
      <c r="R18" s="821"/>
      <c r="S18" s="307"/>
      <c r="T18" s="307"/>
      <c r="U18" s="307"/>
      <c r="V18" s="307"/>
      <c r="W18" s="307"/>
      <c r="X18" s="307"/>
      <c r="Y18" s="796"/>
      <c r="Z18" s="797"/>
      <c r="AA18" s="797"/>
      <c r="AB18" s="797"/>
      <c r="AC18" s="797"/>
      <c r="AD18" s="797"/>
      <c r="AE18" s="797"/>
      <c r="AF18" s="798"/>
    </row>
    <row r="19" spans="2:32" ht="13.8" customHeight="1" x14ac:dyDescent="0.25">
      <c r="B19" s="312"/>
      <c r="C19" s="754"/>
      <c r="D19" s="755"/>
      <c r="E19" s="755"/>
      <c r="F19" s="755"/>
      <c r="G19" s="755"/>
      <c r="H19" s="755"/>
      <c r="I19" s="756"/>
      <c r="K19" s="814"/>
      <c r="L19" s="815"/>
      <c r="M19" s="815"/>
      <c r="N19" s="815"/>
      <c r="O19" s="816"/>
      <c r="P19" s="306"/>
      <c r="Q19" s="822"/>
      <c r="R19" s="823"/>
      <c r="S19" s="307"/>
      <c r="T19" s="307"/>
      <c r="U19" s="307"/>
      <c r="V19" s="307"/>
      <c r="W19" s="307"/>
      <c r="X19" s="307"/>
      <c r="Y19" s="796"/>
      <c r="Z19" s="797"/>
      <c r="AA19" s="797"/>
      <c r="AB19" s="797"/>
      <c r="AC19" s="797"/>
      <c r="AD19" s="797"/>
      <c r="AE19" s="797"/>
      <c r="AF19" s="798"/>
    </row>
    <row r="20" spans="2:32" ht="13.8" customHeight="1" x14ac:dyDescent="0.25">
      <c r="B20" s="312"/>
      <c r="C20" s="754"/>
      <c r="D20" s="755"/>
      <c r="E20" s="755"/>
      <c r="F20" s="755"/>
      <c r="G20" s="755"/>
      <c r="H20" s="755"/>
      <c r="I20" s="756"/>
      <c r="K20" s="814"/>
      <c r="L20" s="815"/>
      <c r="M20" s="815"/>
      <c r="N20" s="815"/>
      <c r="O20" s="816"/>
      <c r="P20" s="306"/>
      <c r="Q20" s="822"/>
      <c r="R20" s="823"/>
      <c r="S20" s="307"/>
      <c r="T20" s="307"/>
      <c r="U20" s="307"/>
      <c r="V20" s="307"/>
      <c r="W20" s="307"/>
      <c r="X20" s="307"/>
      <c r="Y20" s="796"/>
      <c r="Z20" s="797"/>
      <c r="AA20" s="797"/>
      <c r="AB20" s="797"/>
      <c r="AC20" s="797"/>
      <c r="AD20" s="797"/>
      <c r="AE20" s="797"/>
      <c r="AF20" s="798"/>
    </row>
    <row r="21" spans="2:32" ht="13.8" customHeight="1" x14ac:dyDescent="0.25">
      <c r="B21" s="312"/>
      <c r="C21" s="754"/>
      <c r="D21" s="755"/>
      <c r="E21" s="755"/>
      <c r="F21" s="755"/>
      <c r="G21" s="755"/>
      <c r="H21" s="755"/>
      <c r="I21" s="756"/>
      <c r="K21" s="814"/>
      <c r="L21" s="815"/>
      <c r="M21" s="815"/>
      <c r="N21" s="815"/>
      <c r="O21" s="816"/>
      <c r="P21" s="306"/>
      <c r="Q21" s="822"/>
      <c r="R21" s="823"/>
      <c r="S21" s="307"/>
      <c r="T21" s="307"/>
      <c r="U21" s="307"/>
      <c r="V21" s="307"/>
      <c r="W21" s="307"/>
      <c r="X21" s="307"/>
      <c r="Y21" s="796"/>
      <c r="Z21" s="797"/>
      <c r="AA21" s="797"/>
      <c r="AB21" s="797"/>
      <c r="AC21" s="797"/>
      <c r="AD21" s="797"/>
      <c r="AE21" s="797"/>
      <c r="AF21" s="798"/>
    </row>
    <row r="22" spans="2:32" ht="13.8" customHeight="1" x14ac:dyDescent="0.25">
      <c r="B22" s="312"/>
      <c r="C22" s="754"/>
      <c r="D22" s="755"/>
      <c r="E22" s="755"/>
      <c r="F22" s="755"/>
      <c r="G22" s="755"/>
      <c r="H22" s="755"/>
      <c r="I22" s="756"/>
      <c r="K22" s="814"/>
      <c r="L22" s="815"/>
      <c r="M22" s="815"/>
      <c r="N22" s="815"/>
      <c r="O22" s="816"/>
      <c r="P22" s="306"/>
      <c r="Q22" s="822"/>
      <c r="R22" s="823"/>
      <c r="S22" s="307"/>
      <c r="T22" s="307"/>
      <c r="U22" s="307"/>
      <c r="V22" s="307"/>
      <c r="W22" s="307"/>
      <c r="X22" s="307"/>
      <c r="Y22" s="796"/>
      <c r="Z22" s="797"/>
      <c r="AA22" s="797"/>
      <c r="AB22" s="797"/>
      <c r="AC22" s="797"/>
      <c r="AD22" s="797"/>
      <c r="AE22" s="797"/>
      <c r="AF22" s="798"/>
    </row>
    <row r="23" spans="2:32" ht="13.8" customHeight="1" thickBot="1" x14ac:dyDescent="0.3">
      <c r="B23" s="312"/>
      <c r="C23" s="754"/>
      <c r="D23" s="755"/>
      <c r="E23" s="755"/>
      <c r="F23" s="755"/>
      <c r="G23" s="755"/>
      <c r="H23" s="755"/>
      <c r="I23" s="756"/>
      <c r="K23" s="817"/>
      <c r="L23" s="818"/>
      <c r="M23" s="818"/>
      <c r="N23" s="818"/>
      <c r="O23" s="819"/>
      <c r="P23" s="318"/>
      <c r="Q23" s="824"/>
      <c r="R23" s="825"/>
      <c r="S23" s="307"/>
      <c r="T23" s="307"/>
      <c r="U23" s="307"/>
      <c r="V23" s="307"/>
      <c r="W23" s="307"/>
      <c r="X23" s="307"/>
      <c r="Y23" s="796"/>
      <c r="Z23" s="797"/>
      <c r="AA23" s="797"/>
      <c r="AB23" s="797"/>
      <c r="AC23" s="797"/>
      <c r="AD23" s="797"/>
      <c r="AE23" s="797"/>
      <c r="AF23" s="798"/>
    </row>
    <row r="24" spans="2:32" ht="13.8" customHeight="1" thickTop="1" thickBot="1" x14ac:dyDescent="0.3">
      <c r="B24" s="312"/>
      <c r="C24" s="754"/>
      <c r="D24" s="755"/>
      <c r="E24" s="755"/>
      <c r="F24" s="755"/>
      <c r="G24" s="755"/>
      <c r="H24" s="755"/>
      <c r="I24" s="756"/>
      <c r="K24" s="321"/>
      <c r="L24" s="316"/>
      <c r="M24" s="316"/>
      <c r="N24" s="316"/>
      <c r="O24" s="317"/>
      <c r="P24" s="318"/>
      <c r="Q24" s="318"/>
      <c r="R24" s="322"/>
      <c r="S24" s="307"/>
      <c r="T24" s="307"/>
      <c r="U24" s="307"/>
      <c r="V24" s="307"/>
      <c r="W24" s="307"/>
      <c r="X24" s="307"/>
      <c r="Y24" s="796"/>
      <c r="Z24" s="797"/>
      <c r="AA24" s="797"/>
      <c r="AB24" s="797"/>
      <c r="AC24" s="797"/>
      <c r="AD24" s="797"/>
      <c r="AE24" s="797"/>
      <c r="AF24" s="798"/>
    </row>
    <row r="25" spans="2:32" ht="13.8" customHeight="1" thickTop="1" x14ac:dyDescent="0.25">
      <c r="B25" s="312"/>
      <c r="C25" s="754"/>
      <c r="D25" s="755"/>
      <c r="E25" s="755"/>
      <c r="F25" s="755"/>
      <c r="G25" s="755"/>
      <c r="H25" s="755"/>
      <c r="I25" s="756"/>
      <c r="K25" s="802" t="s">
        <v>285</v>
      </c>
      <c r="L25" s="803"/>
      <c r="M25" s="803"/>
      <c r="N25" s="803"/>
      <c r="O25" s="803"/>
      <c r="P25" s="803"/>
      <c r="Q25" s="803"/>
      <c r="R25" s="804"/>
      <c r="S25" s="307"/>
      <c r="T25" s="307"/>
      <c r="U25" s="307"/>
      <c r="V25" s="307"/>
      <c r="W25" s="307"/>
      <c r="X25" s="307"/>
      <c r="Y25" s="796"/>
      <c r="Z25" s="797"/>
      <c r="AA25" s="797"/>
      <c r="AB25" s="797"/>
      <c r="AC25" s="797"/>
      <c r="AD25" s="797"/>
      <c r="AE25" s="797"/>
      <c r="AF25" s="798"/>
    </row>
    <row r="26" spans="2:32" ht="13.8" customHeight="1" thickBot="1" x14ac:dyDescent="0.3">
      <c r="B26" s="312"/>
      <c r="C26" s="754"/>
      <c r="D26" s="755"/>
      <c r="E26" s="755"/>
      <c r="F26" s="755"/>
      <c r="G26" s="755"/>
      <c r="H26" s="755"/>
      <c r="I26" s="756"/>
      <c r="K26" s="805"/>
      <c r="L26" s="806"/>
      <c r="M26" s="806"/>
      <c r="N26" s="806"/>
      <c r="O26" s="806"/>
      <c r="P26" s="806"/>
      <c r="Q26" s="806"/>
      <c r="R26" s="807"/>
      <c r="S26" s="307"/>
      <c r="T26" s="307"/>
      <c r="U26" s="307"/>
      <c r="V26" s="307"/>
      <c r="W26" s="307"/>
      <c r="X26" s="307"/>
      <c r="Y26" s="799"/>
      <c r="Z26" s="800"/>
      <c r="AA26" s="800"/>
      <c r="AB26" s="800"/>
      <c r="AC26" s="800"/>
      <c r="AD26" s="800"/>
      <c r="AE26" s="800"/>
      <c r="AF26" s="801"/>
    </row>
    <row r="27" spans="2:32" ht="14.4" thickTop="1" x14ac:dyDescent="0.25">
      <c r="B27" s="312"/>
      <c r="C27" s="754"/>
      <c r="D27" s="755"/>
      <c r="E27" s="755"/>
      <c r="F27" s="755"/>
      <c r="G27" s="755"/>
      <c r="H27" s="755"/>
      <c r="I27" s="756"/>
      <c r="K27" s="805"/>
      <c r="L27" s="806"/>
      <c r="M27" s="806"/>
      <c r="N27" s="806"/>
      <c r="O27" s="806"/>
      <c r="P27" s="806"/>
      <c r="Q27" s="806"/>
      <c r="R27" s="8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13"/>
    </row>
    <row r="28" spans="2:32" x14ac:dyDescent="0.25">
      <c r="B28" s="312"/>
      <c r="C28" s="754"/>
      <c r="D28" s="755"/>
      <c r="E28" s="755"/>
      <c r="F28" s="755"/>
      <c r="G28" s="755"/>
      <c r="H28" s="755"/>
      <c r="I28" s="756"/>
      <c r="K28" s="805"/>
      <c r="L28" s="806"/>
      <c r="M28" s="806"/>
      <c r="N28" s="806"/>
      <c r="O28" s="806"/>
      <c r="P28" s="806"/>
      <c r="Q28" s="806"/>
      <c r="R28" s="807"/>
      <c r="S28" s="307"/>
      <c r="T28" s="307"/>
      <c r="U28" s="307"/>
      <c r="V28" s="307"/>
      <c r="W28" s="307"/>
      <c r="X28" s="307"/>
      <c r="Y28" s="307"/>
      <c r="Z28" s="307"/>
      <c r="AA28" s="307"/>
      <c r="AB28" s="307"/>
      <c r="AC28" s="307"/>
      <c r="AD28" s="307"/>
      <c r="AE28" s="307"/>
      <c r="AF28" s="313"/>
    </row>
    <row r="29" spans="2:32" ht="14.4" thickBot="1" x14ac:dyDescent="0.3">
      <c r="B29" s="312"/>
      <c r="C29" s="754"/>
      <c r="D29" s="755"/>
      <c r="E29" s="755"/>
      <c r="F29" s="755"/>
      <c r="G29" s="755"/>
      <c r="H29" s="755"/>
      <c r="I29" s="756"/>
      <c r="K29" s="805"/>
      <c r="L29" s="806"/>
      <c r="M29" s="806"/>
      <c r="N29" s="806"/>
      <c r="O29" s="806"/>
      <c r="P29" s="806"/>
      <c r="Q29" s="806"/>
      <c r="R29" s="807"/>
      <c r="S29" s="307"/>
      <c r="T29" s="307"/>
      <c r="U29" s="307"/>
      <c r="V29" s="307"/>
      <c r="W29" s="307"/>
      <c r="X29" s="307"/>
      <c r="Y29" s="307"/>
      <c r="Z29" s="307"/>
      <c r="AA29" s="307"/>
      <c r="AB29" s="307"/>
      <c r="AC29" s="307"/>
      <c r="AD29" s="307"/>
      <c r="AE29" s="307"/>
      <c r="AF29" s="313"/>
    </row>
    <row r="30" spans="2:32" ht="15" thickTop="1" thickBot="1" x14ac:dyDescent="0.3">
      <c r="B30" s="312"/>
      <c r="C30" s="757"/>
      <c r="D30" s="758"/>
      <c r="E30" s="758"/>
      <c r="F30" s="758"/>
      <c r="G30" s="758"/>
      <c r="H30" s="758"/>
      <c r="I30" s="759"/>
      <c r="K30" s="805"/>
      <c r="L30" s="806"/>
      <c r="M30" s="806"/>
      <c r="N30" s="806"/>
      <c r="O30" s="806"/>
      <c r="P30" s="806"/>
      <c r="Q30" s="806"/>
      <c r="R30" s="807"/>
      <c r="S30" s="307"/>
      <c r="T30" s="307"/>
      <c r="U30" s="307"/>
      <c r="V30" s="307"/>
      <c r="W30" s="307"/>
      <c r="X30" s="307"/>
      <c r="Y30" s="307"/>
      <c r="Z30" s="802" t="s">
        <v>28</v>
      </c>
      <c r="AA30" s="803"/>
      <c r="AB30" s="803"/>
      <c r="AC30" s="803"/>
      <c r="AD30" s="803"/>
      <c r="AE30" s="804"/>
      <c r="AF30" s="313"/>
    </row>
    <row r="31" spans="2:32" ht="14.4" thickTop="1" x14ac:dyDescent="0.25">
      <c r="B31" s="312"/>
      <c r="K31" s="805"/>
      <c r="L31" s="806"/>
      <c r="M31" s="806"/>
      <c r="N31" s="806"/>
      <c r="O31" s="806"/>
      <c r="P31" s="806"/>
      <c r="Q31" s="806"/>
      <c r="R31" s="807"/>
      <c r="S31" s="775"/>
      <c r="T31" s="776"/>
      <c r="U31" s="776"/>
      <c r="V31" s="776"/>
      <c r="W31" s="777"/>
      <c r="X31" s="307"/>
      <c r="Y31" s="307"/>
      <c r="Z31" s="805"/>
      <c r="AA31" s="806"/>
      <c r="AB31" s="806"/>
      <c r="AC31" s="806"/>
      <c r="AD31" s="806"/>
      <c r="AE31" s="807"/>
      <c r="AF31" s="313"/>
    </row>
    <row r="32" spans="2:32" ht="14.4" thickBot="1" x14ac:dyDescent="0.3">
      <c r="B32" s="312"/>
      <c r="K32" s="805"/>
      <c r="L32" s="806"/>
      <c r="M32" s="806"/>
      <c r="N32" s="806"/>
      <c r="O32" s="806"/>
      <c r="P32" s="806"/>
      <c r="Q32" s="806"/>
      <c r="R32" s="807"/>
      <c r="S32" s="778"/>
      <c r="T32" s="779"/>
      <c r="U32" s="779"/>
      <c r="V32" s="779"/>
      <c r="W32" s="780"/>
      <c r="X32" s="307"/>
      <c r="Y32" s="307"/>
      <c r="Z32" s="805"/>
      <c r="AA32" s="806"/>
      <c r="AB32" s="806"/>
      <c r="AC32" s="806"/>
      <c r="AD32" s="806"/>
      <c r="AE32" s="807"/>
      <c r="AF32" s="313"/>
    </row>
    <row r="33" spans="2:32" ht="14.4" thickTop="1" x14ac:dyDescent="0.25">
      <c r="B33" s="312"/>
      <c r="K33" s="805"/>
      <c r="L33" s="806"/>
      <c r="M33" s="806"/>
      <c r="N33" s="806"/>
      <c r="O33" s="806"/>
      <c r="P33" s="806"/>
      <c r="Q33" s="806"/>
      <c r="R33" s="807"/>
      <c r="S33" s="769" t="s">
        <v>221</v>
      </c>
      <c r="T33" s="770"/>
      <c r="U33" s="770"/>
      <c r="V33" s="770"/>
      <c r="W33" s="771"/>
      <c r="X33" s="307"/>
      <c r="Y33" s="307"/>
      <c r="Z33" s="805"/>
      <c r="AA33" s="806"/>
      <c r="AB33" s="806"/>
      <c r="AC33" s="806"/>
      <c r="AD33" s="806"/>
      <c r="AE33" s="807"/>
      <c r="AF33" s="313"/>
    </row>
    <row r="34" spans="2:32" ht="14.4" thickBot="1" x14ac:dyDescent="0.3">
      <c r="B34" s="312"/>
      <c r="K34" s="805"/>
      <c r="L34" s="806"/>
      <c r="M34" s="806"/>
      <c r="N34" s="806"/>
      <c r="O34" s="806"/>
      <c r="P34" s="806"/>
      <c r="Q34" s="806"/>
      <c r="R34" s="807"/>
      <c r="S34" s="769"/>
      <c r="T34" s="770"/>
      <c r="U34" s="770"/>
      <c r="V34" s="770"/>
      <c r="W34" s="771"/>
      <c r="X34" s="307"/>
      <c r="Y34" s="307"/>
      <c r="Z34" s="808"/>
      <c r="AA34" s="809"/>
      <c r="AB34" s="809"/>
      <c r="AC34" s="809"/>
      <c r="AD34" s="809"/>
      <c r="AE34" s="810"/>
      <c r="AF34" s="313"/>
    </row>
    <row r="35" spans="2:32" ht="14.4" thickTop="1" x14ac:dyDescent="0.25">
      <c r="B35" s="312"/>
      <c r="K35" s="805"/>
      <c r="L35" s="806"/>
      <c r="M35" s="806"/>
      <c r="N35" s="806"/>
      <c r="O35" s="806"/>
      <c r="P35" s="806"/>
      <c r="Q35" s="806"/>
      <c r="R35" s="807"/>
      <c r="S35" s="769"/>
      <c r="T35" s="770"/>
      <c r="U35" s="770"/>
      <c r="V35" s="770"/>
      <c r="W35" s="771"/>
      <c r="X35" s="307"/>
      <c r="Y35" s="307"/>
      <c r="Z35" s="307"/>
      <c r="AA35" s="307"/>
      <c r="AB35" s="307"/>
      <c r="AC35" s="307"/>
      <c r="AD35" s="307"/>
      <c r="AE35" s="307"/>
      <c r="AF35" s="313"/>
    </row>
    <row r="36" spans="2:32" x14ac:dyDescent="0.25">
      <c r="B36" s="312"/>
      <c r="K36" s="805"/>
      <c r="L36" s="806"/>
      <c r="M36" s="806"/>
      <c r="N36" s="806"/>
      <c r="O36" s="806"/>
      <c r="P36" s="806"/>
      <c r="Q36" s="806"/>
      <c r="R36" s="807"/>
      <c r="S36" s="769"/>
      <c r="T36" s="770"/>
      <c r="U36" s="770"/>
      <c r="V36" s="770"/>
      <c r="W36" s="771"/>
      <c r="X36" s="307"/>
      <c r="Y36" s="307"/>
      <c r="Z36" s="307"/>
      <c r="AA36" s="307"/>
      <c r="AB36" s="307"/>
      <c r="AC36" s="307"/>
      <c r="AD36" s="307"/>
      <c r="AE36" s="307"/>
      <c r="AF36" s="313"/>
    </row>
    <row r="37" spans="2:32" ht="14.4" thickBot="1" x14ac:dyDescent="0.3">
      <c r="B37" s="312"/>
      <c r="K37" s="808"/>
      <c r="L37" s="809"/>
      <c r="M37" s="809"/>
      <c r="N37" s="809"/>
      <c r="O37" s="809"/>
      <c r="P37" s="809"/>
      <c r="Q37" s="809"/>
      <c r="R37" s="810"/>
      <c r="S37" s="772"/>
      <c r="T37" s="773"/>
      <c r="U37" s="773"/>
      <c r="V37" s="773"/>
      <c r="W37" s="774"/>
      <c r="X37" s="307"/>
      <c r="Y37" s="307"/>
      <c r="Z37" s="307"/>
      <c r="AA37" s="307"/>
      <c r="AB37" s="307"/>
      <c r="AC37" s="307"/>
      <c r="AD37" s="307"/>
      <c r="AE37" s="307"/>
      <c r="AF37" s="313"/>
    </row>
    <row r="38" spans="2:32" ht="14.4" thickTop="1" x14ac:dyDescent="0.25">
      <c r="B38" s="312"/>
      <c r="K38" s="319"/>
      <c r="L38" s="307"/>
      <c r="M38" s="307"/>
      <c r="N38" s="307"/>
      <c r="O38" s="760" t="s">
        <v>286</v>
      </c>
      <c r="P38" s="761"/>
      <c r="Q38" s="761"/>
      <c r="R38" s="762"/>
      <c r="S38" s="760" t="s">
        <v>286</v>
      </c>
      <c r="T38" s="761"/>
      <c r="U38" s="761"/>
      <c r="V38" s="761"/>
      <c r="W38" s="761"/>
      <c r="X38" s="760" t="s">
        <v>286</v>
      </c>
      <c r="Y38" s="761"/>
      <c r="Z38" s="761"/>
      <c r="AA38" s="762"/>
      <c r="AB38" s="760" t="s">
        <v>5</v>
      </c>
      <c r="AC38" s="761"/>
      <c r="AD38" s="761"/>
      <c r="AE38" s="761"/>
      <c r="AF38" s="762"/>
    </row>
    <row r="39" spans="2:32" x14ac:dyDescent="0.25">
      <c r="B39" s="312"/>
      <c r="K39" s="319"/>
      <c r="L39" s="781"/>
      <c r="M39" s="782"/>
      <c r="N39" s="307"/>
      <c r="O39" s="763"/>
      <c r="P39" s="764"/>
      <c r="Q39" s="764"/>
      <c r="R39" s="765"/>
      <c r="S39" s="763"/>
      <c r="T39" s="764"/>
      <c r="U39" s="764"/>
      <c r="V39" s="764"/>
      <c r="W39" s="764"/>
      <c r="X39" s="763"/>
      <c r="Y39" s="764"/>
      <c r="Z39" s="764"/>
      <c r="AA39" s="765"/>
      <c r="AB39" s="763"/>
      <c r="AC39" s="764"/>
      <c r="AD39" s="764"/>
      <c r="AE39" s="764"/>
      <c r="AF39" s="765"/>
    </row>
    <row r="40" spans="2:32" x14ac:dyDescent="0.25">
      <c r="B40" s="312"/>
      <c r="K40" s="319"/>
      <c r="L40" s="783"/>
      <c r="M40" s="784"/>
      <c r="N40" s="307"/>
      <c r="O40" s="763"/>
      <c r="P40" s="764"/>
      <c r="Q40" s="764"/>
      <c r="R40" s="765"/>
      <c r="S40" s="763"/>
      <c r="T40" s="764"/>
      <c r="U40" s="764"/>
      <c r="V40" s="764"/>
      <c r="W40" s="764"/>
      <c r="X40" s="763"/>
      <c r="Y40" s="764"/>
      <c r="Z40" s="764"/>
      <c r="AA40" s="765"/>
      <c r="AB40" s="763"/>
      <c r="AC40" s="764"/>
      <c r="AD40" s="764"/>
      <c r="AE40" s="764"/>
      <c r="AF40" s="765"/>
    </row>
    <row r="41" spans="2:32" x14ac:dyDescent="0.25">
      <c r="B41" s="312"/>
      <c r="K41" s="319"/>
      <c r="L41" s="783"/>
      <c r="M41" s="784"/>
      <c r="N41" s="307"/>
      <c r="O41" s="763"/>
      <c r="P41" s="764"/>
      <c r="Q41" s="764"/>
      <c r="R41" s="765"/>
      <c r="S41" s="763"/>
      <c r="T41" s="764"/>
      <c r="U41" s="764"/>
      <c r="V41" s="764"/>
      <c r="W41" s="764"/>
      <c r="X41" s="763"/>
      <c r="Y41" s="764"/>
      <c r="Z41" s="764"/>
      <c r="AA41" s="765"/>
      <c r="AB41" s="763"/>
      <c r="AC41" s="764"/>
      <c r="AD41" s="764"/>
      <c r="AE41" s="764"/>
      <c r="AF41" s="765"/>
    </row>
    <row r="42" spans="2:32" x14ac:dyDescent="0.25">
      <c r="B42" s="312"/>
      <c r="K42" s="319"/>
      <c r="L42" s="783"/>
      <c r="M42" s="784"/>
      <c r="N42" s="307"/>
      <c r="O42" s="763"/>
      <c r="P42" s="764"/>
      <c r="Q42" s="764"/>
      <c r="R42" s="765"/>
      <c r="S42" s="763"/>
      <c r="T42" s="764"/>
      <c r="U42" s="764"/>
      <c r="V42" s="764"/>
      <c r="W42" s="764"/>
      <c r="X42" s="763"/>
      <c r="Y42" s="764"/>
      <c r="Z42" s="764"/>
      <c r="AA42" s="765"/>
      <c r="AB42" s="763"/>
      <c r="AC42" s="764"/>
      <c r="AD42" s="764"/>
      <c r="AE42" s="764"/>
      <c r="AF42" s="765"/>
    </row>
    <row r="43" spans="2:32" x14ac:dyDescent="0.25">
      <c r="B43" s="312"/>
      <c r="K43" s="319"/>
      <c r="L43" s="783"/>
      <c r="M43" s="784"/>
      <c r="N43" s="307"/>
      <c r="O43" s="763"/>
      <c r="P43" s="764"/>
      <c r="Q43" s="764"/>
      <c r="R43" s="765"/>
      <c r="S43" s="763"/>
      <c r="T43" s="764"/>
      <c r="U43" s="764"/>
      <c r="V43" s="764"/>
      <c r="W43" s="764"/>
      <c r="X43" s="763"/>
      <c r="Y43" s="764"/>
      <c r="Z43" s="764"/>
      <c r="AA43" s="765"/>
      <c r="AB43" s="763"/>
      <c r="AC43" s="764"/>
      <c r="AD43" s="764"/>
      <c r="AE43" s="764"/>
      <c r="AF43" s="765"/>
    </row>
    <row r="44" spans="2:32" x14ac:dyDescent="0.25">
      <c r="B44" s="312"/>
      <c r="K44" s="319"/>
      <c r="L44" s="783"/>
      <c r="M44" s="784"/>
      <c r="N44" s="307"/>
      <c r="O44" s="763"/>
      <c r="P44" s="764"/>
      <c r="Q44" s="764"/>
      <c r="R44" s="765"/>
      <c r="S44" s="763"/>
      <c r="T44" s="764"/>
      <c r="U44" s="764"/>
      <c r="V44" s="764"/>
      <c r="W44" s="764"/>
      <c r="X44" s="763"/>
      <c r="Y44" s="764"/>
      <c r="Z44" s="764"/>
      <c r="AA44" s="765"/>
      <c r="AB44" s="763"/>
      <c r="AC44" s="764"/>
      <c r="AD44" s="764"/>
      <c r="AE44" s="764"/>
      <c r="AF44" s="765"/>
    </row>
    <row r="45" spans="2:32" x14ac:dyDescent="0.25">
      <c r="B45" s="312"/>
      <c r="K45" s="319"/>
      <c r="L45" s="783"/>
      <c r="M45" s="784"/>
      <c r="N45" s="307"/>
      <c r="O45" s="763"/>
      <c r="P45" s="764"/>
      <c r="Q45" s="764"/>
      <c r="R45" s="765"/>
      <c r="S45" s="763"/>
      <c r="T45" s="764"/>
      <c r="U45" s="764"/>
      <c r="V45" s="764"/>
      <c r="W45" s="764"/>
      <c r="X45" s="763"/>
      <c r="Y45" s="764"/>
      <c r="Z45" s="764"/>
      <c r="AA45" s="765"/>
      <c r="AB45" s="763"/>
      <c r="AC45" s="764"/>
      <c r="AD45" s="764"/>
      <c r="AE45" s="764"/>
      <c r="AF45" s="765"/>
    </row>
    <row r="46" spans="2:32" x14ac:dyDescent="0.25">
      <c r="B46" s="312"/>
      <c r="K46" s="319"/>
      <c r="L46" s="783"/>
      <c r="M46" s="784"/>
      <c r="N46" s="307"/>
      <c r="O46" s="763"/>
      <c r="P46" s="764"/>
      <c r="Q46" s="764"/>
      <c r="R46" s="765"/>
      <c r="S46" s="763"/>
      <c r="T46" s="764"/>
      <c r="U46" s="764"/>
      <c r="V46" s="764"/>
      <c r="W46" s="764"/>
      <c r="X46" s="763"/>
      <c r="Y46" s="764"/>
      <c r="Z46" s="764"/>
      <c r="AA46" s="765"/>
      <c r="AB46" s="763"/>
      <c r="AC46" s="764"/>
      <c r="AD46" s="764"/>
      <c r="AE46" s="764"/>
      <c r="AF46" s="765"/>
    </row>
    <row r="47" spans="2:32" x14ac:dyDescent="0.25">
      <c r="B47" s="312"/>
      <c r="K47" s="319"/>
      <c r="L47" s="783"/>
      <c r="M47" s="784"/>
      <c r="N47" s="307"/>
      <c r="O47" s="763"/>
      <c r="P47" s="764"/>
      <c r="Q47" s="764"/>
      <c r="R47" s="765"/>
      <c r="S47" s="763"/>
      <c r="T47" s="764"/>
      <c r="U47" s="764"/>
      <c r="V47" s="764"/>
      <c r="W47" s="764"/>
      <c r="X47" s="763"/>
      <c r="Y47" s="764"/>
      <c r="Z47" s="764"/>
      <c r="AA47" s="765"/>
      <c r="AB47" s="763"/>
      <c r="AC47" s="764"/>
      <c r="AD47" s="764"/>
      <c r="AE47" s="764"/>
      <c r="AF47" s="765"/>
    </row>
    <row r="48" spans="2:32" x14ac:dyDescent="0.25">
      <c r="B48" s="312"/>
      <c r="K48" s="319"/>
      <c r="L48" s="783"/>
      <c r="M48" s="784"/>
      <c r="N48" s="307"/>
      <c r="O48" s="763"/>
      <c r="P48" s="764"/>
      <c r="Q48" s="764"/>
      <c r="R48" s="765"/>
      <c r="S48" s="763"/>
      <c r="T48" s="764"/>
      <c r="U48" s="764"/>
      <c r="V48" s="764"/>
      <c r="W48" s="764"/>
      <c r="X48" s="763"/>
      <c r="Y48" s="764"/>
      <c r="Z48" s="764"/>
      <c r="AA48" s="765"/>
      <c r="AB48" s="763"/>
      <c r="AC48" s="764"/>
      <c r="AD48" s="764"/>
      <c r="AE48" s="764"/>
      <c r="AF48" s="765"/>
    </row>
    <row r="49" spans="2:32" x14ac:dyDescent="0.25">
      <c r="B49" s="312"/>
      <c r="K49" s="319"/>
      <c r="L49" s="783"/>
      <c r="M49" s="784"/>
      <c r="N49" s="307"/>
      <c r="O49" s="763"/>
      <c r="P49" s="764"/>
      <c r="Q49" s="764"/>
      <c r="R49" s="765"/>
      <c r="S49" s="763"/>
      <c r="T49" s="764"/>
      <c r="U49" s="764"/>
      <c r="V49" s="764"/>
      <c r="W49" s="764"/>
      <c r="X49" s="763"/>
      <c r="Y49" s="764"/>
      <c r="Z49" s="764"/>
      <c r="AA49" s="765"/>
      <c r="AB49" s="763"/>
      <c r="AC49" s="764"/>
      <c r="AD49" s="764"/>
      <c r="AE49" s="764"/>
      <c r="AF49" s="765"/>
    </row>
    <row r="50" spans="2:32" x14ac:dyDescent="0.25">
      <c r="B50" s="312"/>
      <c r="K50" s="319"/>
      <c r="L50" s="783"/>
      <c r="M50" s="784"/>
      <c r="N50" s="307"/>
      <c r="O50" s="763"/>
      <c r="P50" s="764"/>
      <c r="Q50" s="764"/>
      <c r="R50" s="765"/>
      <c r="S50" s="763"/>
      <c r="T50" s="764"/>
      <c r="U50" s="764"/>
      <c r="V50" s="764"/>
      <c r="W50" s="764"/>
      <c r="X50" s="763"/>
      <c r="Y50" s="764"/>
      <c r="Z50" s="764"/>
      <c r="AA50" s="765"/>
      <c r="AB50" s="763"/>
      <c r="AC50" s="764"/>
      <c r="AD50" s="764"/>
      <c r="AE50" s="764"/>
      <c r="AF50" s="765"/>
    </row>
    <row r="51" spans="2:32" x14ac:dyDescent="0.25">
      <c r="B51" s="312"/>
      <c r="K51" s="319"/>
      <c r="L51" s="783"/>
      <c r="M51" s="784"/>
      <c r="N51" s="307"/>
      <c r="O51" s="763"/>
      <c r="P51" s="764"/>
      <c r="Q51" s="764"/>
      <c r="R51" s="765"/>
      <c r="S51" s="763"/>
      <c r="T51" s="764"/>
      <c r="U51" s="764"/>
      <c r="V51" s="764"/>
      <c r="W51" s="764"/>
      <c r="X51" s="763"/>
      <c r="Y51" s="764"/>
      <c r="Z51" s="764"/>
      <c r="AA51" s="765"/>
      <c r="AB51" s="763"/>
      <c r="AC51" s="764"/>
      <c r="AD51" s="764"/>
      <c r="AE51" s="764"/>
      <c r="AF51" s="765"/>
    </row>
    <row r="52" spans="2:32" x14ac:dyDescent="0.25">
      <c r="B52" s="312"/>
      <c r="K52" s="319"/>
      <c r="L52" s="783"/>
      <c r="M52" s="784"/>
      <c r="N52" s="307"/>
      <c r="O52" s="763"/>
      <c r="P52" s="764"/>
      <c r="Q52" s="764"/>
      <c r="R52" s="765"/>
      <c r="S52" s="763"/>
      <c r="T52" s="764"/>
      <c r="U52" s="764"/>
      <c r="V52" s="764"/>
      <c r="W52" s="764"/>
      <c r="X52" s="763"/>
      <c r="Y52" s="764"/>
      <c r="Z52" s="764"/>
      <c r="AA52" s="765"/>
      <c r="AB52" s="763"/>
      <c r="AC52" s="764"/>
      <c r="AD52" s="764"/>
      <c r="AE52" s="764"/>
      <c r="AF52" s="765"/>
    </row>
    <row r="53" spans="2:32" x14ac:dyDescent="0.25">
      <c r="B53" s="312"/>
      <c r="K53" s="319"/>
      <c r="L53" s="783"/>
      <c r="M53" s="784"/>
      <c r="N53" s="307"/>
      <c r="O53" s="763"/>
      <c r="P53" s="764"/>
      <c r="Q53" s="764"/>
      <c r="R53" s="765"/>
      <c r="S53" s="763"/>
      <c r="T53" s="764"/>
      <c r="U53" s="764"/>
      <c r="V53" s="764"/>
      <c r="W53" s="764"/>
      <c r="X53" s="763"/>
      <c r="Y53" s="764"/>
      <c r="Z53" s="764"/>
      <c r="AA53" s="765"/>
      <c r="AB53" s="763"/>
      <c r="AC53" s="764"/>
      <c r="AD53" s="764"/>
      <c r="AE53" s="764"/>
      <c r="AF53" s="765"/>
    </row>
    <row r="54" spans="2:32" x14ac:dyDescent="0.25">
      <c r="B54" s="312"/>
      <c r="K54" s="319"/>
      <c r="L54" s="783"/>
      <c r="M54" s="784"/>
      <c r="N54" s="307"/>
      <c r="O54" s="763"/>
      <c r="P54" s="764"/>
      <c r="Q54" s="764"/>
      <c r="R54" s="765"/>
      <c r="S54" s="763"/>
      <c r="T54" s="764"/>
      <c r="U54" s="764"/>
      <c r="V54" s="764"/>
      <c r="W54" s="764"/>
      <c r="X54" s="763"/>
      <c r="Y54" s="764"/>
      <c r="Z54" s="764"/>
      <c r="AA54" s="765"/>
      <c r="AB54" s="763"/>
      <c r="AC54" s="764"/>
      <c r="AD54" s="764"/>
      <c r="AE54" s="764"/>
      <c r="AF54" s="765"/>
    </row>
    <row r="55" spans="2:32" x14ac:dyDescent="0.25">
      <c r="B55" s="312"/>
      <c r="K55" s="319"/>
      <c r="L55" s="783"/>
      <c r="M55" s="784"/>
      <c r="N55" s="307"/>
      <c r="O55" s="763"/>
      <c r="P55" s="764"/>
      <c r="Q55" s="764"/>
      <c r="R55" s="765"/>
      <c r="S55" s="763"/>
      <c r="T55" s="764"/>
      <c r="U55" s="764"/>
      <c r="V55" s="764"/>
      <c r="W55" s="764"/>
      <c r="X55" s="763"/>
      <c r="Y55" s="764"/>
      <c r="Z55" s="764"/>
      <c r="AA55" s="765"/>
      <c r="AB55" s="763"/>
      <c r="AC55" s="764"/>
      <c r="AD55" s="764"/>
      <c r="AE55" s="764"/>
      <c r="AF55" s="765"/>
    </row>
    <row r="56" spans="2:32" x14ac:dyDescent="0.25">
      <c r="B56" s="312"/>
      <c r="K56" s="319"/>
      <c r="L56" s="783"/>
      <c r="M56" s="784"/>
      <c r="N56" s="307"/>
      <c r="O56" s="763"/>
      <c r="P56" s="764"/>
      <c r="Q56" s="764"/>
      <c r="R56" s="765"/>
      <c r="S56" s="763"/>
      <c r="T56" s="764"/>
      <c r="U56" s="764"/>
      <c r="V56" s="764"/>
      <c r="W56" s="764"/>
      <c r="X56" s="763"/>
      <c r="Y56" s="764"/>
      <c r="Z56" s="764"/>
      <c r="AA56" s="765"/>
      <c r="AB56" s="763"/>
      <c r="AC56" s="764"/>
      <c r="AD56" s="764"/>
      <c r="AE56" s="764"/>
      <c r="AF56" s="765"/>
    </row>
    <row r="57" spans="2:32" x14ac:dyDescent="0.25">
      <c r="B57" s="312"/>
      <c r="K57" s="319"/>
      <c r="L57" s="783"/>
      <c r="M57" s="784"/>
      <c r="N57" s="307"/>
      <c r="O57" s="763"/>
      <c r="P57" s="764"/>
      <c r="Q57" s="764"/>
      <c r="R57" s="765"/>
      <c r="S57" s="763"/>
      <c r="T57" s="764"/>
      <c r="U57" s="764"/>
      <c r="V57" s="764"/>
      <c r="W57" s="764"/>
      <c r="X57" s="763"/>
      <c r="Y57" s="764"/>
      <c r="Z57" s="764"/>
      <c r="AA57" s="765"/>
      <c r="AB57" s="763"/>
      <c r="AC57" s="764"/>
      <c r="AD57" s="764"/>
      <c r="AE57" s="764"/>
      <c r="AF57" s="765"/>
    </row>
    <row r="58" spans="2:32" x14ac:dyDescent="0.25">
      <c r="B58" s="312"/>
      <c r="K58" s="319"/>
      <c r="L58" s="785"/>
      <c r="M58" s="786"/>
      <c r="N58" s="307"/>
      <c r="O58" s="763"/>
      <c r="P58" s="764"/>
      <c r="Q58" s="764"/>
      <c r="R58" s="765"/>
      <c r="S58" s="763"/>
      <c r="T58" s="764"/>
      <c r="U58" s="764"/>
      <c r="V58" s="764"/>
      <c r="W58" s="764"/>
      <c r="X58" s="763"/>
      <c r="Y58" s="764"/>
      <c r="Z58" s="764"/>
      <c r="AA58" s="765"/>
      <c r="AB58" s="763"/>
      <c r="AC58" s="764"/>
      <c r="AD58" s="764"/>
      <c r="AE58" s="764"/>
      <c r="AF58" s="765"/>
    </row>
    <row r="59" spans="2:32" ht="14.4" thickBot="1" x14ac:dyDescent="0.3">
      <c r="B59" s="314"/>
      <c r="C59" s="315"/>
      <c r="D59" s="315"/>
      <c r="E59" s="315"/>
      <c r="F59" s="315"/>
      <c r="G59" s="315"/>
      <c r="H59" s="315"/>
      <c r="I59" s="315"/>
      <c r="J59" s="315"/>
      <c r="K59" s="321"/>
      <c r="L59" s="316"/>
      <c r="M59" s="316"/>
      <c r="N59" s="316"/>
      <c r="O59" s="766"/>
      <c r="P59" s="767"/>
      <c r="Q59" s="767"/>
      <c r="R59" s="768"/>
      <c r="S59" s="766"/>
      <c r="T59" s="767"/>
      <c r="U59" s="767"/>
      <c r="V59" s="767"/>
      <c r="W59" s="767"/>
      <c r="X59" s="766"/>
      <c r="Y59" s="767"/>
      <c r="Z59" s="767"/>
      <c r="AA59" s="768"/>
      <c r="AB59" s="766"/>
      <c r="AC59" s="767"/>
      <c r="AD59" s="767"/>
      <c r="AE59" s="767"/>
      <c r="AF59" s="768"/>
    </row>
    <row r="60" spans="2:32" ht="14.4" thickTop="1" x14ac:dyDescent="0.25"/>
  </sheetData>
  <mergeCells count="15">
    <mergeCell ref="S2:AF8"/>
    <mergeCell ref="Y9:AF26"/>
    <mergeCell ref="Z30:AE34"/>
    <mergeCell ref="K2:R16"/>
    <mergeCell ref="K18:O23"/>
    <mergeCell ref="Q18:R23"/>
    <mergeCell ref="K25:R37"/>
    <mergeCell ref="C17:I30"/>
    <mergeCell ref="X38:AA59"/>
    <mergeCell ref="AB38:AF59"/>
    <mergeCell ref="S33:W37"/>
    <mergeCell ref="S31:W32"/>
    <mergeCell ref="L39:M58"/>
    <mergeCell ref="O38:R59"/>
    <mergeCell ref="S38:W59"/>
  </mergeCells>
  <pageMargins left="0.7" right="0.7" top="0.75" bottom="0.75" header="0.3" footer="0.3"/>
  <pageSetup scale="3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EB43D-9FBA-4E4C-8B4B-7A46DB4845DF}">
  <sheetPr>
    <pageSetUpPr fitToPage="1"/>
  </sheetPr>
  <dimension ref="B1:H12"/>
  <sheetViews>
    <sheetView zoomScale="106" workbookViewId="0">
      <selection activeCell="C14" sqref="C14"/>
    </sheetView>
  </sheetViews>
  <sheetFormatPr defaultRowHeight="15.6" x14ac:dyDescent="0.3"/>
  <cols>
    <col min="1" max="1" width="8.88671875" style="78"/>
    <col min="2" max="2" width="18.44140625" style="78" bestFit="1" customWidth="1"/>
    <col min="3" max="3" width="22.6640625" style="78" bestFit="1" customWidth="1"/>
    <col min="4" max="4" width="23" style="78" bestFit="1" customWidth="1"/>
    <col min="5" max="5" width="15.5546875" style="78" bestFit="1" customWidth="1"/>
    <col min="6" max="6" width="21.6640625" style="78" bestFit="1" customWidth="1"/>
    <col min="7" max="7" width="37.109375" style="78" customWidth="1"/>
    <col min="8" max="8" width="15.21875" style="78" bestFit="1" customWidth="1"/>
    <col min="9" max="16384" width="8.88671875" style="78"/>
  </cols>
  <sheetData>
    <row r="1" spans="2:8" ht="16.8" thickTop="1" thickBot="1" x14ac:dyDescent="0.35">
      <c r="B1" s="351"/>
      <c r="C1" s="351"/>
      <c r="D1" s="357"/>
      <c r="E1" s="356"/>
      <c r="F1" s="357"/>
      <c r="G1" s="357"/>
      <c r="H1" s="352"/>
    </row>
    <row r="2" spans="2:8" ht="16.8" thickTop="1" thickBot="1" x14ac:dyDescent="0.35">
      <c r="B2" s="359"/>
      <c r="C2" s="353"/>
      <c r="D2" s="358"/>
      <c r="E2" s="354"/>
      <c r="F2" s="358"/>
      <c r="G2" s="358"/>
      <c r="H2" s="355"/>
    </row>
    <row r="3" spans="2:8" ht="28.2" customHeight="1" thickTop="1" thickBot="1" x14ac:dyDescent="0.35">
      <c r="B3" s="342"/>
      <c r="C3" s="299" t="s">
        <v>19</v>
      </c>
      <c r="D3" s="342" t="s">
        <v>290</v>
      </c>
      <c r="E3" s="301" t="s">
        <v>291</v>
      </c>
      <c r="F3" s="300" t="s">
        <v>292</v>
      </c>
      <c r="G3" s="342" t="s">
        <v>175</v>
      </c>
      <c r="H3" s="301" t="s">
        <v>293</v>
      </c>
    </row>
    <row r="4" spans="2:8" ht="53.4" customHeight="1" thickTop="1" thickBot="1" x14ac:dyDescent="0.35">
      <c r="B4" s="72" t="s">
        <v>148</v>
      </c>
      <c r="C4" s="342" t="s">
        <v>294</v>
      </c>
      <c r="D4" s="343" t="s">
        <v>295</v>
      </c>
      <c r="E4" s="342" t="s">
        <v>296</v>
      </c>
      <c r="F4" s="343" t="s">
        <v>301</v>
      </c>
      <c r="G4" s="342" t="s">
        <v>297</v>
      </c>
      <c r="H4" s="344">
        <v>43</v>
      </c>
    </row>
    <row r="5" spans="2:8" ht="16.8" thickTop="1" thickBot="1" x14ac:dyDescent="0.35">
      <c r="B5" s="302"/>
      <c r="C5" s="345"/>
      <c r="E5" s="345"/>
      <c r="G5" s="345"/>
      <c r="H5" s="113"/>
    </row>
    <row r="6" spans="2:8" ht="32.4" thickTop="1" thickBot="1" x14ac:dyDescent="0.35">
      <c r="B6" s="72" t="s">
        <v>298</v>
      </c>
      <c r="C6" s="342" t="s">
        <v>299</v>
      </c>
      <c r="D6" s="343" t="s">
        <v>230</v>
      </c>
      <c r="E6" s="342" t="s">
        <v>300</v>
      </c>
      <c r="F6" s="343" t="s">
        <v>256</v>
      </c>
      <c r="G6" s="342" t="s">
        <v>302</v>
      </c>
      <c r="H6" s="344"/>
    </row>
    <row r="7" spans="2:8" ht="16.8" thickTop="1" thickBot="1" x14ac:dyDescent="0.35">
      <c r="B7" s="302"/>
      <c r="C7" s="345"/>
      <c r="E7" s="345"/>
      <c r="G7" s="345"/>
      <c r="H7" s="113"/>
    </row>
    <row r="8" spans="2:8" ht="16.2" customHeight="1" thickTop="1" thickBot="1" x14ac:dyDescent="0.35">
      <c r="B8" s="72" t="s">
        <v>303</v>
      </c>
      <c r="C8" s="342" t="s">
        <v>304</v>
      </c>
      <c r="D8" s="346">
        <v>570000</v>
      </c>
      <c r="E8" s="347">
        <f>50*52000</f>
        <v>2600000</v>
      </c>
      <c r="F8" s="348">
        <f>53000*50</f>
        <v>2650000</v>
      </c>
      <c r="G8" s="349">
        <f>1400*50</f>
        <v>70000</v>
      </c>
      <c r="H8" s="350">
        <f>43*250*200</f>
        <v>2150000</v>
      </c>
    </row>
    <row r="9" spans="2:8" ht="16.2" thickTop="1" x14ac:dyDescent="0.3"/>
    <row r="12" spans="2:8" x14ac:dyDescent="0.3">
      <c r="G12" s="78">
        <v>1</v>
      </c>
    </row>
  </sheetData>
  <pageMargins left="0.7" right="0.7" top="0.75" bottom="0.75" header="0.3" footer="0.3"/>
  <pageSetup scale="5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D6DFE-A963-4C6C-860A-621E55C5C16C}">
  <dimension ref="B1:G18"/>
  <sheetViews>
    <sheetView tabSelected="1" topLeftCell="A2" zoomScale="127" workbookViewId="0">
      <selection activeCell="G19" sqref="G19"/>
    </sheetView>
  </sheetViews>
  <sheetFormatPr defaultRowHeight="15.6" x14ac:dyDescent="0.3"/>
  <cols>
    <col min="1" max="1" width="8.88671875" style="75"/>
    <col min="2" max="2" width="20.44140625" style="75" bestFit="1" customWidth="1"/>
    <col min="3" max="3" width="16.77734375" style="75" bestFit="1" customWidth="1"/>
    <col min="4" max="4" width="15.109375" style="75" bestFit="1" customWidth="1"/>
    <col min="5" max="5" width="12.21875" style="75" bestFit="1" customWidth="1"/>
    <col min="6" max="6" width="16.77734375" style="75" bestFit="1" customWidth="1"/>
    <col min="7" max="16384" width="8.88671875" style="75"/>
  </cols>
  <sheetData>
    <row r="1" spans="2:6" ht="16.8" thickTop="1" thickBot="1" x14ac:dyDescent="0.35">
      <c r="B1" s="829"/>
      <c r="C1" s="830"/>
      <c r="D1" s="830"/>
      <c r="E1" s="830"/>
      <c r="F1" s="831"/>
    </row>
    <row r="2" spans="2:6" ht="19.8" customHeight="1" thickTop="1" thickBot="1" x14ac:dyDescent="0.35">
      <c r="B2" s="826" t="s">
        <v>321</v>
      </c>
      <c r="C2" s="827"/>
      <c r="D2" s="827"/>
      <c r="E2" s="827"/>
      <c r="F2" s="828"/>
    </row>
    <row r="3" spans="2:6" ht="16.8" thickTop="1" thickBot="1" x14ac:dyDescent="0.35">
      <c r="B3" s="372" t="s">
        <v>315</v>
      </c>
      <c r="C3" s="369" t="s">
        <v>316</v>
      </c>
      <c r="D3" s="369" t="s">
        <v>317</v>
      </c>
      <c r="E3" s="369" t="s">
        <v>318</v>
      </c>
      <c r="F3" s="373" t="s">
        <v>132</v>
      </c>
    </row>
    <row r="4" spans="2:6" ht="16.8" thickTop="1" thickBot="1" x14ac:dyDescent="0.35">
      <c r="B4" s="374"/>
      <c r="C4" s="375"/>
      <c r="D4" s="375"/>
      <c r="E4" s="375"/>
      <c r="F4" s="376"/>
    </row>
    <row r="5" spans="2:6" ht="16.8" thickTop="1" thickBot="1" x14ac:dyDescent="0.35">
      <c r="B5" s="377" t="s">
        <v>319</v>
      </c>
      <c r="C5" s="378">
        <f>2150000*0.3428571</f>
        <v>737142.76500000001</v>
      </c>
      <c r="D5" s="378">
        <f>30000*50</f>
        <v>1500000</v>
      </c>
      <c r="E5" s="378">
        <f>13500*3</f>
        <v>40500</v>
      </c>
      <c r="F5" s="379">
        <f>SUM(C5:E5)</f>
        <v>2277642.7650000001</v>
      </c>
    </row>
    <row r="6" spans="2:6" ht="16.8" thickTop="1" thickBot="1" x14ac:dyDescent="0.35">
      <c r="B6" s="372" t="s">
        <v>164</v>
      </c>
      <c r="C6" s="380">
        <f>2150000*0.24</f>
        <v>516000</v>
      </c>
      <c r="D6" s="380">
        <f>53000*50</f>
        <v>2650000</v>
      </c>
      <c r="E6" s="380">
        <f>13500*3</f>
        <v>40500</v>
      </c>
      <c r="F6" s="381">
        <f>SUM(C6:E6)</f>
        <v>3206500</v>
      </c>
    </row>
    <row r="7" spans="2:6" ht="16.8" thickTop="1" thickBot="1" x14ac:dyDescent="0.35">
      <c r="B7" s="374" t="s">
        <v>31</v>
      </c>
      <c r="C7" s="382">
        <f>2150000*(0.34+1.28+0.91)</f>
        <v>5439500.0000000009</v>
      </c>
      <c r="D7" s="382">
        <f>23000*50</f>
        <v>1150000</v>
      </c>
      <c r="E7" s="382">
        <f>13500*7</f>
        <v>94500</v>
      </c>
      <c r="F7" s="383">
        <f>SUM(C7:E7)</f>
        <v>6684000.0000000009</v>
      </c>
    </row>
    <row r="8" spans="2:6" ht="16.2" hidden="1" thickTop="1" x14ac:dyDescent="0.3">
      <c r="B8" s="377" t="s">
        <v>320</v>
      </c>
      <c r="C8" s="378"/>
      <c r="D8" s="378"/>
      <c r="E8" s="378">
        <f t="shared" ref="E8:E9" si="0">13500*7</f>
        <v>94500</v>
      </c>
      <c r="F8" s="379">
        <f t="shared" ref="F8:F9" si="1">SUM(C8:E8)</f>
        <v>94500</v>
      </c>
    </row>
    <row r="9" spans="2:6" ht="16.8" thickTop="1" thickBot="1" x14ac:dyDescent="0.35">
      <c r="B9" s="374" t="s">
        <v>159</v>
      </c>
      <c r="C9" s="382">
        <f>6.375*2150000</f>
        <v>13706250</v>
      </c>
      <c r="D9" s="382">
        <f>52000*50</f>
        <v>2600000</v>
      </c>
      <c r="E9" s="382">
        <f t="shared" si="0"/>
        <v>94500</v>
      </c>
      <c r="F9" s="383">
        <f t="shared" si="1"/>
        <v>16400750</v>
      </c>
    </row>
    <row r="10" spans="2:6" ht="16.2" thickTop="1" x14ac:dyDescent="0.3"/>
    <row r="18" spans="7:7" x14ac:dyDescent="0.3">
      <c r="G18" s="75" t="s">
        <v>340</v>
      </c>
    </row>
  </sheetData>
  <mergeCells count="2">
    <mergeCell ref="B2:F2"/>
    <mergeCell ref="B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A5EA-0048-4A98-A6BF-2CA925833093}">
  <sheetPr>
    <pageSetUpPr fitToPage="1"/>
  </sheetPr>
  <dimension ref="D2:J36"/>
  <sheetViews>
    <sheetView topLeftCell="B2" zoomScale="72" zoomScaleNormal="100" workbookViewId="0">
      <selection activeCell="O28" sqref="O28"/>
    </sheetView>
  </sheetViews>
  <sheetFormatPr defaultRowHeight="14.4" x14ac:dyDescent="0.3"/>
  <cols>
    <col min="5" max="5" width="31" bestFit="1" customWidth="1"/>
    <col min="6" max="6" width="29.33203125" bestFit="1" customWidth="1"/>
    <col min="7" max="7" width="28.44140625" bestFit="1" customWidth="1"/>
    <col min="8" max="8" width="28.44140625" customWidth="1"/>
    <col min="9" max="9" width="59" bestFit="1" customWidth="1"/>
    <col min="10" max="10" width="38" bestFit="1" customWidth="1"/>
  </cols>
  <sheetData>
    <row r="2" spans="4:10" ht="15" thickBot="1" x14ac:dyDescent="0.35"/>
    <row r="3" spans="4:10" ht="16.8" thickTop="1" thickBot="1" x14ac:dyDescent="0.35">
      <c r="I3" s="183"/>
      <c r="J3" s="184"/>
    </row>
    <row r="4" spans="4:10" ht="16.8" thickTop="1" thickBot="1" x14ac:dyDescent="0.35">
      <c r="D4" s="832" t="s">
        <v>326</v>
      </c>
      <c r="E4" s="833"/>
      <c r="F4" s="386" t="s">
        <v>322</v>
      </c>
      <c r="I4" s="185"/>
      <c r="J4" s="187"/>
    </row>
    <row r="5" spans="4:10" ht="16.8" thickTop="1" thickBot="1" x14ac:dyDescent="0.35">
      <c r="D5" s="387"/>
      <c r="E5" s="388"/>
      <c r="F5" s="389"/>
      <c r="I5" s="114" t="s">
        <v>70</v>
      </c>
      <c r="J5" s="111" t="s">
        <v>228</v>
      </c>
    </row>
    <row r="6" spans="4:10" ht="16.8" thickTop="1" thickBot="1" x14ac:dyDescent="0.35">
      <c r="D6" s="411"/>
      <c r="E6" s="412" t="s">
        <v>323</v>
      </c>
      <c r="F6" s="413" t="s">
        <v>324</v>
      </c>
      <c r="G6" s="75"/>
      <c r="I6" s="56" t="s">
        <v>213</v>
      </c>
      <c r="J6" s="56" t="s">
        <v>214</v>
      </c>
    </row>
    <row r="7" spans="4:10" ht="48" thickTop="1" thickBot="1" x14ac:dyDescent="0.35">
      <c r="D7" s="372"/>
      <c r="E7" s="369" t="s">
        <v>325</v>
      </c>
      <c r="F7" s="373" t="s">
        <v>327</v>
      </c>
      <c r="G7" s="75"/>
      <c r="I7" s="58" t="s">
        <v>328</v>
      </c>
      <c r="J7" s="188" t="s">
        <v>216</v>
      </c>
    </row>
    <row r="8" spans="4:10" ht="16.8" thickTop="1" thickBot="1" x14ac:dyDescent="0.35">
      <c r="D8" s="395"/>
      <c r="E8" s="393" t="s">
        <v>70</v>
      </c>
      <c r="F8" s="369">
        <v>7000</v>
      </c>
      <c r="G8" s="75"/>
      <c r="I8" s="56" t="s">
        <v>226</v>
      </c>
      <c r="J8" s="330" t="s">
        <v>227</v>
      </c>
    </row>
    <row r="9" spans="4:10" ht="16.8" thickTop="1" thickBot="1" x14ac:dyDescent="0.35">
      <c r="D9" s="369"/>
      <c r="E9" s="390" t="s">
        <v>224</v>
      </c>
      <c r="F9" s="392">
        <v>25000</v>
      </c>
      <c r="G9" s="75"/>
      <c r="I9" s="331"/>
      <c r="J9" s="89"/>
    </row>
    <row r="10" spans="4:10" ht="16.8" thickTop="1" thickBot="1" x14ac:dyDescent="0.35">
      <c r="D10" s="395"/>
      <c r="E10" s="390" t="s">
        <v>218</v>
      </c>
      <c r="F10" s="53">
        <v>150</v>
      </c>
      <c r="G10" s="75"/>
      <c r="I10" s="332"/>
      <c r="J10" s="268"/>
    </row>
    <row r="11" spans="4:10" ht="16.8" thickTop="1" thickBot="1" x14ac:dyDescent="0.35">
      <c r="D11" s="369"/>
      <c r="E11" s="390" t="s">
        <v>247</v>
      </c>
      <c r="F11" s="53">
        <v>500</v>
      </c>
      <c r="G11" s="75"/>
      <c r="I11" s="62" t="s">
        <v>217</v>
      </c>
      <c r="J11" s="63" t="s">
        <v>225</v>
      </c>
    </row>
    <row r="12" spans="4:10" ht="16.8" thickTop="1" thickBot="1" x14ac:dyDescent="0.35">
      <c r="D12" s="369"/>
      <c r="E12" s="390" t="s">
        <v>219</v>
      </c>
      <c r="F12" s="53">
        <v>13000</v>
      </c>
      <c r="G12" s="75"/>
      <c r="I12" s="52" t="s">
        <v>224</v>
      </c>
      <c r="J12" s="53" t="s">
        <v>258</v>
      </c>
    </row>
    <row r="13" spans="4:10" ht="16.8" thickTop="1" thickBot="1" x14ac:dyDescent="0.35">
      <c r="D13" s="377"/>
      <c r="E13" s="391" t="s">
        <v>220</v>
      </c>
      <c r="F13" s="56">
        <v>53000</v>
      </c>
      <c r="G13" s="75"/>
      <c r="I13" s="52" t="s">
        <v>218</v>
      </c>
      <c r="J13" s="53" t="s">
        <v>244</v>
      </c>
    </row>
    <row r="14" spans="4:10" ht="16.8" thickTop="1" thickBot="1" x14ac:dyDescent="0.35">
      <c r="D14" s="372"/>
      <c r="E14" s="375" t="s">
        <v>221</v>
      </c>
      <c r="F14" s="58">
        <v>4000</v>
      </c>
      <c r="G14" s="75"/>
      <c r="I14" s="52" t="s">
        <v>247</v>
      </c>
      <c r="J14" s="53" t="s">
        <v>248</v>
      </c>
    </row>
    <row r="15" spans="4:10" ht="16.8" thickTop="1" thickBot="1" x14ac:dyDescent="0.35">
      <c r="D15" s="374"/>
      <c r="E15" s="393"/>
      <c r="F15" s="180"/>
      <c r="G15" s="75"/>
      <c r="I15" s="52" t="s">
        <v>219</v>
      </c>
      <c r="J15" s="53" t="s">
        <v>257</v>
      </c>
    </row>
    <row r="16" spans="4:10" ht="16.8" thickTop="1" thickBot="1" x14ac:dyDescent="0.35">
      <c r="D16" s="369"/>
      <c r="E16" s="369"/>
      <c r="F16" s="373"/>
      <c r="G16" s="75"/>
      <c r="I16" s="55" t="s">
        <v>220</v>
      </c>
      <c r="J16" s="56" t="s">
        <v>256</v>
      </c>
    </row>
    <row r="17" spans="4:10" ht="16.8" thickTop="1" thickBot="1" x14ac:dyDescent="0.35">
      <c r="D17" s="377"/>
      <c r="E17" s="375" t="s">
        <v>329</v>
      </c>
      <c r="F17" s="375">
        <f>SUM(F8:F15)</f>
        <v>102650</v>
      </c>
      <c r="G17" s="75"/>
      <c r="I17" s="57" t="s">
        <v>221</v>
      </c>
      <c r="J17" s="58" t="s">
        <v>230</v>
      </c>
    </row>
    <row r="18" spans="4:10" ht="16.8" thickTop="1" thickBot="1" x14ac:dyDescent="0.35">
      <c r="D18" s="372"/>
      <c r="E18" s="369"/>
      <c r="F18" s="373"/>
      <c r="G18" s="75"/>
      <c r="I18" s="177"/>
      <c r="J18" s="58"/>
    </row>
    <row r="19" spans="4:10" ht="16.8" thickTop="1" thickBot="1" x14ac:dyDescent="0.35">
      <c r="D19" s="384"/>
      <c r="E19" s="385"/>
      <c r="F19" s="406"/>
      <c r="G19" s="407"/>
      <c r="I19" s="183"/>
      <c r="J19" s="184"/>
    </row>
    <row r="20" spans="4:10" ht="16.8" thickTop="1" thickBot="1" x14ac:dyDescent="0.35">
      <c r="D20" s="408"/>
      <c r="E20" s="409"/>
      <c r="F20" s="410"/>
      <c r="G20" s="409"/>
      <c r="I20" s="185"/>
      <c r="J20" s="186"/>
    </row>
    <row r="21" spans="4:10" ht="16.8" thickTop="1" thickBot="1" x14ac:dyDescent="0.35">
      <c r="D21" s="834" t="s">
        <v>330</v>
      </c>
      <c r="E21" s="835"/>
      <c r="F21" s="369">
        <f>173000-F17</f>
        <v>70350</v>
      </c>
      <c r="G21" s="373"/>
      <c r="I21" s="69" t="s">
        <v>222</v>
      </c>
      <c r="J21" s="111" t="s">
        <v>228</v>
      </c>
    </row>
    <row r="22" spans="4:10" ht="15" customHeight="1" thickTop="1" thickBot="1" x14ac:dyDescent="0.35">
      <c r="D22" s="372"/>
      <c r="E22" s="369" t="s">
        <v>331</v>
      </c>
      <c r="F22" s="369" t="s">
        <v>332</v>
      </c>
      <c r="G22" s="373"/>
      <c r="I22" s="608" t="s">
        <v>229</v>
      </c>
      <c r="J22" s="608" t="s">
        <v>300</v>
      </c>
    </row>
    <row r="23" spans="4:10" ht="14.4" customHeight="1" thickTop="1" thickBot="1" x14ac:dyDescent="0.35">
      <c r="D23" s="374"/>
      <c r="E23" s="375"/>
      <c r="F23" s="375"/>
      <c r="G23" s="376"/>
      <c r="I23" s="615"/>
      <c r="J23" s="615"/>
    </row>
    <row r="24" spans="4:10" ht="15" customHeight="1" thickTop="1" thickBot="1" x14ac:dyDescent="0.35">
      <c r="D24" s="374"/>
      <c r="E24" s="369" t="s">
        <v>333</v>
      </c>
      <c r="F24" s="369">
        <f>70350*30</f>
        <v>2110500</v>
      </c>
      <c r="G24" s="373" t="s">
        <v>334</v>
      </c>
      <c r="I24" s="609"/>
      <c r="J24" s="609"/>
    </row>
    <row r="25" spans="4:10" ht="16.8" thickTop="1" thickBot="1" x14ac:dyDescent="0.35">
      <c r="D25" s="372"/>
      <c r="E25" s="372"/>
      <c r="F25" s="369"/>
      <c r="G25" s="369"/>
      <c r="I25" s="247"/>
      <c r="J25" s="248"/>
    </row>
    <row r="26" spans="4:10" ht="16.8" thickTop="1" thickBot="1" x14ac:dyDescent="0.35">
      <c r="D26" s="395"/>
      <c r="E26" s="393" t="s">
        <v>335</v>
      </c>
      <c r="F26" s="369" t="s">
        <v>336</v>
      </c>
      <c r="G26" s="373"/>
      <c r="I26" s="249"/>
      <c r="J26" s="250"/>
    </row>
    <row r="27" spans="4:10" ht="15" customHeight="1" thickTop="1" thickBot="1" x14ac:dyDescent="0.35">
      <c r="D27" s="369"/>
      <c r="E27" s="369" t="s">
        <v>337</v>
      </c>
      <c r="F27" s="375">
        <f>48/12*48/12*60/12</f>
        <v>80</v>
      </c>
      <c r="G27" s="376"/>
      <c r="I27" s="606" t="s">
        <v>246</v>
      </c>
      <c r="J27" s="608">
        <f>7000+25000+150+12769+53000+4000+52000+500</f>
        <v>154419</v>
      </c>
    </row>
    <row r="28" spans="4:10" s="394" customFormat="1" ht="43.8" customHeight="1" thickTop="1" thickBot="1" x14ac:dyDescent="0.35">
      <c r="D28" s="396"/>
      <c r="E28" s="397" t="s">
        <v>338</v>
      </c>
      <c r="F28" s="398">
        <f>F17/F27</f>
        <v>1283.125</v>
      </c>
      <c r="G28" s="399"/>
      <c r="I28" s="674"/>
      <c r="J28" s="615"/>
    </row>
    <row r="29" spans="4:10" ht="14.4" customHeight="1" thickTop="1" x14ac:dyDescent="0.3">
      <c r="D29" s="74"/>
      <c r="E29" s="74"/>
      <c r="F29" s="74"/>
      <c r="G29" s="74"/>
      <c r="I29" s="674"/>
      <c r="J29" s="615"/>
    </row>
    <row r="30" spans="4:10" ht="15" customHeight="1" thickBot="1" x14ac:dyDescent="0.35">
      <c r="D30" s="74"/>
      <c r="E30" s="74"/>
      <c r="F30" s="74"/>
      <c r="G30" s="74"/>
      <c r="I30" s="607"/>
      <c r="J30" s="609"/>
    </row>
    <row r="31" spans="4:10" ht="16.8" thickTop="1" thickBot="1" x14ac:dyDescent="0.35">
      <c r="D31" s="74"/>
      <c r="E31" s="74"/>
      <c r="F31" s="74"/>
      <c r="G31" s="74"/>
      <c r="I31" s="191"/>
      <c r="J31" s="360"/>
    </row>
    <row r="32" spans="4:10" ht="18.600000000000001" thickTop="1" thickBot="1" x14ac:dyDescent="0.35">
      <c r="I32" s="361" t="s">
        <v>305</v>
      </c>
      <c r="J32" s="362">
        <f>173000-J27</f>
        <v>18581</v>
      </c>
    </row>
    <row r="33" spans="9:10" ht="16.2" thickTop="1" x14ac:dyDescent="0.3">
      <c r="I33" s="74"/>
      <c r="J33" s="74"/>
    </row>
    <row r="34" spans="9:10" ht="16.2" thickBot="1" x14ac:dyDescent="0.35">
      <c r="I34" s="74"/>
      <c r="J34" s="74"/>
    </row>
    <row r="35" spans="9:10" ht="48" thickTop="1" thickBot="1" x14ac:dyDescent="0.35">
      <c r="I35" s="369" t="s">
        <v>59</v>
      </c>
      <c r="J35" s="370" t="s">
        <v>314</v>
      </c>
    </row>
    <row r="36" spans="9:10" ht="15" thickTop="1" x14ac:dyDescent="0.3"/>
  </sheetData>
  <mergeCells count="6">
    <mergeCell ref="I22:I24"/>
    <mergeCell ref="J22:J24"/>
    <mergeCell ref="I27:I30"/>
    <mergeCell ref="J27:J30"/>
    <mergeCell ref="D4:E4"/>
    <mergeCell ref="D21:E21"/>
  </mergeCells>
  <pageMargins left="0.7" right="0.7" top="0.75" bottom="0.75" header="0.3" footer="0.3"/>
  <pageSetup scale="3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B402-C801-4C6C-9D7F-94A9DB45363A}">
  <sheetPr>
    <pageSetUpPr fitToPage="1"/>
  </sheetPr>
  <dimension ref="A1:AG37"/>
  <sheetViews>
    <sheetView zoomScale="59" zoomScaleNormal="130" workbookViewId="0">
      <selection activeCell="L31" sqref="L31"/>
    </sheetView>
  </sheetViews>
  <sheetFormatPr defaultRowHeight="13.8" x14ac:dyDescent="0.3"/>
  <cols>
    <col min="1" max="1" width="16.77734375" style="33" customWidth="1"/>
    <col min="2" max="25" width="8.88671875" style="33"/>
    <col min="26" max="26" width="13.5546875" style="33" customWidth="1"/>
    <col min="27" max="16384" width="8.88671875" style="33"/>
  </cols>
  <sheetData>
    <row r="1" spans="1:30" ht="36" customHeight="1" thickTop="1" thickBot="1" x14ac:dyDescent="0.35">
      <c r="D1" s="451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2"/>
      <c r="W1" s="452"/>
      <c r="X1" s="452"/>
      <c r="Y1" s="452"/>
      <c r="Z1" s="452"/>
      <c r="AA1" s="452"/>
      <c r="AB1" s="452"/>
      <c r="AC1" s="452"/>
      <c r="AD1" s="453"/>
    </row>
    <row r="2" spans="1:30" ht="13.8" customHeight="1" thickTop="1" x14ac:dyDescent="0.3">
      <c r="D2" s="445" t="s">
        <v>17</v>
      </c>
      <c r="E2" s="446"/>
      <c r="F2" s="446"/>
      <c r="G2" s="446"/>
      <c r="H2" s="446"/>
      <c r="I2" s="446"/>
      <c r="J2" s="446"/>
      <c r="K2" s="446"/>
      <c r="L2" s="446"/>
      <c r="M2" s="446"/>
      <c r="N2" s="446"/>
      <c r="O2" s="446"/>
      <c r="P2" s="446"/>
      <c r="Q2" s="446"/>
      <c r="R2" s="446"/>
      <c r="S2" s="446"/>
      <c r="T2" s="446"/>
      <c r="U2" s="446"/>
      <c r="V2" s="446"/>
      <c r="W2" s="446"/>
      <c r="X2" s="446"/>
      <c r="Y2" s="446"/>
      <c r="Z2" s="446"/>
      <c r="AA2" s="446"/>
      <c r="AB2" s="446"/>
      <c r="AC2" s="446"/>
      <c r="AD2" s="447"/>
    </row>
    <row r="3" spans="1:30" ht="43.2" customHeight="1" thickBot="1" x14ac:dyDescent="0.35">
      <c r="D3" s="448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49"/>
      <c r="U3" s="449"/>
      <c r="V3" s="449"/>
      <c r="W3" s="449"/>
      <c r="X3" s="449"/>
      <c r="Y3" s="449"/>
      <c r="Z3" s="449"/>
      <c r="AA3" s="449"/>
      <c r="AB3" s="449"/>
      <c r="AC3" s="449"/>
      <c r="AD3" s="450"/>
    </row>
    <row r="4" spans="1:30" ht="14.4" thickTop="1" x14ac:dyDescent="0.3"/>
    <row r="5" spans="1:30" ht="19.2" thickBot="1" x14ac:dyDescent="0.3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30" ht="14.4" customHeight="1" x14ac:dyDescent="0.3">
      <c r="B6" s="32"/>
      <c r="C6" s="433" t="s">
        <v>26</v>
      </c>
      <c r="D6" s="434"/>
      <c r="E6" s="434"/>
      <c r="F6" s="434"/>
      <c r="G6" s="435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30" ht="14.4" customHeight="1" thickBot="1" x14ac:dyDescent="0.35">
      <c r="B7" s="32"/>
      <c r="C7" s="436"/>
      <c r="D7" s="437"/>
      <c r="E7" s="437"/>
      <c r="F7" s="437"/>
      <c r="G7" s="438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30" ht="18.600000000000001" x14ac:dyDescent="0.3">
      <c r="B8" s="32"/>
      <c r="C8" s="32"/>
      <c r="D8" s="430"/>
      <c r="E8" s="430"/>
      <c r="F8" s="43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30" ht="19.2" thickBot="1" x14ac:dyDescent="0.35">
      <c r="B9" s="32"/>
      <c r="C9" s="32"/>
      <c r="D9" s="431"/>
      <c r="E9" s="431"/>
      <c r="F9" s="431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</row>
    <row r="10" spans="1:30" ht="19.2" thickTop="1" x14ac:dyDescent="0.3">
      <c r="A10" s="439">
        <v>1</v>
      </c>
      <c r="B10" s="440"/>
      <c r="C10" s="32"/>
      <c r="D10" s="431"/>
      <c r="E10" s="431"/>
      <c r="F10" s="431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</row>
    <row r="11" spans="1:30" ht="19.2" thickBot="1" x14ac:dyDescent="0.35">
      <c r="A11" s="441"/>
      <c r="B11" s="442"/>
      <c r="C11" s="32"/>
      <c r="D11" s="432"/>
      <c r="E11" s="432"/>
      <c r="F11" s="4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</row>
    <row r="12" spans="1:30" ht="18.600000000000001" x14ac:dyDescent="0.3">
      <c r="A12" s="441"/>
      <c r="B12" s="442"/>
      <c r="C12" s="32"/>
      <c r="D12" s="465" t="s">
        <v>18</v>
      </c>
      <c r="E12" s="466"/>
      <c r="F12" s="467"/>
      <c r="G12" s="474"/>
      <c r="H12" s="475"/>
      <c r="I12" s="476"/>
      <c r="J12" s="465" t="s">
        <v>19</v>
      </c>
      <c r="K12" s="466"/>
      <c r="L12" s="467"/>
      <c r="M12" s="474"/>
      <c r="N12" s="475"/>
      <c r="O12" s="476"/>
      <c r="P12" s="465" t="s">
        <v>20</v>
      </c>
      <c r="Q12" s="466"/>
      <c r="R12" s="466"/>
      <c r="S12" s="467"/>
      <c r="T12" s="32"/>
    </row>
    <row r="13" spans="1:30" ht="19.2" thickBot="1" x14ac:dyDescent="0.35">
      <c r="A13" s="443"/>
      <c r="B13" s="444"/>
      <c r="C13" s="32"/>
      <c r="D13" s="468"/>
      <c r="E13" s="469"/>
      <c r="F13" s="470"/>
      <c r="G13" s="477"/>
      <c r="H13" s="478"/>
      <c r="I13" s="479"/>
      <c r="J13" s="468"/>
      <c r="K13" s="469"/>
      <c r="L13" s="470"/>
      <c r="M13" s="477"/>
      <c r="N13" s="478"/>
      <c r="O13" s="479"/>
      <c r="P13" s="468"/>
      <c r="Q13" s="469"/>
      <c r="R13" s="469"/>
      <c r="S13" s="470"/>
      <c r="T13" s="32"/>
    </row>
    <row r="14" spans="1:30" ht="19.2" thickTop="1" x14ac:dyDescent="0.3">
      <c r="B14" s="32"/>
      <c r="C14" s="32"/>
      <c r="D14" s="468"/>
      <c r="E14" s="469"/>
      <c r="F14" s="470"/>
      <c r="G14" s="477"/>
      <c r="H14" s="478"/>
      <c r="I14" s="479"/>
      <c r="J14" s="468"/>
      <c r="K14" s="469"/>
      <c r="L14" s="470"/>
      <c r="M14" s="477"/>
      <c r="N14" s="478"/>
      <c r="O14" s="479"/>
      <c r="P14" s="468"/>
      <c r="Q14" s="469"/>
      <c r="R14" s="469"/>
      <c r="S14" s="470"/>
      <c r="T14" s="32"/>
    </row>
    <row r="15" spans="1:30" ht="19.2" thickBot="1" x14ac:dyDescent="0.35">
      <c r="B15" s="32"/>
      <c r="C15" s="32"/>
      <c r="D15" s="471"/>
      <c r="E15" s="472"/>
      <c r="F15" s="473"/>
      <c r="G15" s="480"/>
      <c r="H15" s="481"/>
      <c r="I15" s="482"/>
      <c r="J15" s="471"/>
      <c r="K15" s="472"/>
      <c r="L15" s="473"/>
      <c r="M15" s="480"/>
      <c r="N15" s="481"/>
      <c r="O15" s="482"/>
      <c r="P15" s="471"/>
      <c r="Q15" s="472"/>
      <c r="R15" s="472"/>
      <c r="S15" s="473"/>
      <c r="T15" s="32"/>
    </row>
    <row r="17" spans="1:33" ht="14.4" thickBot="1" x14ac:dyDescent="0.35"/>
    <row r="18" spans="1:33" ht="18.600000000000001" x14ac:dyDescent="0.3">
      <c r="B18" s="34"/>
      <c r="C18" s="34"/>
      <c r="D18" s="461" t="s">
        <v>21</v>
      </c>
      <c r="E18" s="461"/>
      <c r="F18" s="461"/>
      <c r="G18" s="454"/>
      <c r="H18" s="462"/>
      <c r="I18" s="455"/>
      <c r="J18" s="461" t="s">
        <v>22</v>
      </c>
      <c r="K18" s="461"/>
      <c r="L18" s="461"/>
      <c r="M18" s="454"/>
      <c r="N18" s="462"/>
      <c r="O18" s="455"/>
      <c r="P18" s="460" t="s">
        <v>23</v>
      </c>
      <c r="Q18" s="460"/>
      <c r="R18" s="460"/>
      <c r="S18" s="454"/>
      <c r="T18" s="455"/>
      <c r="U18" s="460" t="s">
        <v>16</v>
      </c>
      <c r="V18" s="460"/>
      <c r="W18" s="460"/>
      <c r="X18" s="483"/>
      <c r="Y18" s="461" t="s">
        <v>24</v>
      </c>
      <c r="Z18" s="461"/>
      <c r="AA18" s="1"/>
      <c r="AB18" s="1"/>
      <c r="AC18" s="1"/>
      <c r="AD18" s="1"/>
      <c r="AE18" s="1"/>
      <c r="AF18" s="1"/>
      <c r="AG18" s="1"/>
    </row>
    <row r="19" spans="1:33" ht="18.600000000000001" x14ac:dyDescent="0.3">
      <c r="B19" s="34"/>
      <c r="C19" s="34"/>
      <c r="D19" s="461"/>
      <c r="E19" s="461"/>
      <c r="F19" s="461"/>
      <c r="G19" s="456"/>
      <c r="H19" s="463"/>
      <c r="I19" s="457"/>
      <c r="J19" s="461"/>
      <c r="K19" s="461"/>
      <c r="L19" s="461"/>
      <c r="M19" s="456"/>
      <c r="N19" s="463"/>
      <c r="O19" s="457"/>
      <c r="P19" s="460"/>
      <c r="Q19" s="460"/>
      <c r="R19" s="460"/>
      <c r="S19" s="456"/>
      <c r="T19" s="457"/>
      <c r="U19" s="460"/>
      <c r="V19" s="460"/>
      <c r="W19" s="460"/>
      <c r="X19" s="483"/>
      <c r="Y19" s="461"/>
      <c r="Z19" s="461"/>
      <c r="AA19" s="1"/>
      <c r="AB19" s="1"/>
      <c r="AC19" s="1"/>
      <c r="AD19" s="1"/>
      <c r="AE19" s="1"/>
      <c r="AF19" s="1"/>
      <c r="AG19" s="1"/>
    </row>
    <row r="20" spans="1:33" ht="19.2" thickBot="1" x14ac:dyDescent="0.35">
      <c r="B20" s="34"/>
      <c r="C20" s="34"/>
      <c r="D20" s="461"/>
      <c r="E20" s="461"/>
      <c r="F20" s="461"/>
      <c r="G20" s="456"/>
      <c r="H20" s="463"/>
      <c r="I20" s="457"/>
      <c r="J20" s="461"/>
      <c r="K20" s="461"/>
      <c r="L20" s="461"/>
      <c r="M20" s="456"/>
      <c r="N20" s="463"/>
      <c r="O20" s="457"/>
      <c r="P20" s="460"/>
      <c r="Q20" s="460"/>
      <c r="R20" s="460"/>
      <c r="S20" s="456"/>
      <c r="T20" s="457"/>
      <c r="U20" s="460"/>
      <c r="V20" s="460"/>
      <c r="W20" s="460"/>
      <c r="X20" s="483"/>
      <c r="Y20" s="461"/>
      <c r="Z20" s="461"/>
      <c r="AA20" s="1"/>
      <c r="AB20" s="1"/>
      <c r="AC20" s="1"/>
      <c r="AD20" s="1"/>
      <c r="AE20" s="1"/>
      <c r="AF20" s="1"/>
      <c r="AG20" s="1"/>
    </row>
    <row r="21" spans="1:33" ht="19.2" thickTop="1" x14ac:dyDescent="0.3">
      <c r="A21" s="439">
        <v>2</v>
      </c>
      <c r="B21" s="440"/>
      <c r="C21" s="34"/>
      <c r="D21" s="461"/>
      <c r="E21" s="461"/>
      <c r="F21" s="461"/>
      <c r="G21" s="456"/>
      <c r="H21" s="463"/>
      <c r="I21" s="457"/>
      <c r="J21" s="461"/>
      <c r="K21" s="461"/>
      <c r="L21" s="461"/>
      <c r="M21" s="456"/>
      <c r="N21" s="463"/>
      <c r="O21" s="457"/>
      <c r="P21" s="460"/>
      <c r="Q21" s="460"/>
      <c r="R21" s="460"/>
      <c r="S21" s="456"/>
      <c r="T21" s="457"/>
      <c r="U21" s="460"/>
      <c r="V21" s="460"/>
      <c r="W21" s="460"/>
      <c r="X21" s="483"/>
      <c r="Y21" s="461"/>
      <c r="Z21" s="461"/>
      <c r="AA21" s="1"/>
      <c r="AB21" s="1"/>
      <c r="AC21" s="1"/>
      <c r="AD21" s="1"/>
      <c r="AE21" s="1"/>
      <c r="AF21" s="1"/>
      <c r="AG21" s="1"/>
    </row>
    <row r="22" spans="1:33" ht="18.600000000000001" x14ac:dyDescent="0.3">
      <c r="A22" s="441"/>
      <c r="B22" s="442"/>
      <c r="C22" s="34"/>
      <c r="D22" s="461"/>
      <c r="E22" s="461"/>
      <c r="F22" s="461"/>
      <c r="G22" s="456"/>
      <c r="H22" s="463"/>
      <c r="I22" s="457"/>
      <c r="J22" s="461"/>
      <c r="K22" s="461"/>
      <c r="L22" s="461"/>
      <c r="M22" s="456"/>
      <c r="N22" s="463"/>
      <c r="O22" s="457"/>
      <c r="P22" s="460"/>
      <c r="Q22" s="460"/>
      <c r="R22" s="460"/>
      <c r="S22" s="456"/>
      <c r="T22" s="457"/>
      <c r="U22" s="460"/>
      <c r="V22" s="460"/>
      <c r="W22" s="460"/>
      <c r="X22" s="483"/>
      <c r="Y22" s="461"/>
      <c r="Z22" s="461"/>
      <c r="AA22" s="1"/>
      <c r="AB22" s="1"/>
      <c r="AC22" s="1"/>
      <c r="AD22" s="1"/>
      <c r="AE22" s="1"/>
      <c r="AF22" s="1"/>
      <c r="AG22" s="1"/>
    </row>
    <row r="23" spans="1:33" ht="19.2" thickBot="1" x14ac:dyDescent="0.35">
      <c r="A23" s="441"/>
      <c r="B23" s="442"/>
      <c r="C23" s="34"/>
      <c r="D23" s="461"/>
      <c r="E23" s="461"/>
      <c r="F23" s="461"/>
      <c r="G23" s="458"/>
      <c r="H23" s="464"/>
      <c r="I23" s="459"/>
      <c r="J23" s="461"/>
      <c r="K23" s="461"/>
      <c r="L23" s="461"/>
      <c r="M23" s="458"/>
      <c r="N23" s="464"/>
      <c r="O23" s="459"/>
      <c r="P23" s="460"/>
      <c r="Q23" s="460"/>
      <c r="R23" s="460"/>
      <c r="S23" s="458"/>
      <c r="T23" s="459"/>
      <c r="U23" s="460"/>
      <c r="V23" s="460"/>
      <c r="W23" s="460"/>
      <c r="X23" s="483"/>
      <c r="Y23" s="461"/>
      <c r="Z23" s="461"/>
      <c r="AA23" s="1"/>
      <c r="AB23" s="1"/>
      <c r="AC23" s="1"/>
      <c r="AD23" s="1"/>
      <c r="AE23" s="1"/>
      <c r="AF23" s="1"/>
      <c r="AG23" s="1"/>
    </row>
    <row r="24" spans="1:33" ht="19.2" thickBot="1" x14ac:dyDescent="0.35">
      <c r="A24" s="443"/>
      <c r="B24" s="44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463"/>
      <c r="Z24" s="463"/>
    </row>
    <row r="25" spans="1:33" ht="19.2" thickTop="1" x14ac:dyDescent="0.3"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460" t="s">
        <v>27</v>
      </c>
      <c r="Z25" s="460"/>
    </row>
    <row r="26" spans="1:33" ht="18.600000000000001" x14ac:dyDescent="0.3">
      <c r="B26" s="34"/>
      <c r="C26" s="34"/>
      <c r="D26" s="461" t="s">
        <v>25</v>
      </c>
      <c r="E26" s="461"/>
      <c r="F26" s="461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460"/>
      <c r="Z26" s="460"/>
    </row>
    <row r="27" spans="1:33" ht="18.600000000000001" x14ac:dyDescent="0.3">
      <c r="B27" s="34"/>
      <c r="C27" s="34"/>
      <c r="D27" s="461"/>
      <c r="E27" s="461"/>
      <c r="F27" s="461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460"/>
      <c r="Z27" s="460"/>
    </row>
    <row r="28" spans="1:33" ht="18.600000000000001" x14ac:dyDescent="0.3">
      <c r="B28" s="34"/>
      <c r="C28" s="34"/>
      <c r="D28" s="461"/>
      <c r="E28" s="461"/>
      <c r="F28" s="461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460"/>
      <c r="Z28" s="460"/>
    </row>
    <row r="29" spans="1:33" ht="18.600000000000001" x14ac:dyDescent="0.3">
      <c r="B29" s="34"/>
      <c r="C29" s="34"/>
      <c r="D29" s="461"/>
      <c r="E29" s="461"/>
      <c r="F29" s="461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460"/>
      <c r="Z29" s="460"/>
    </row>
    <row r="30" spans="1:33" ht="18.600000000000001" x14ac:dyDescent="0.3">
      <c r="B30" s="34"/>
      <c r="C30" s="34"/>
      <c r="D30" s="461"/>
      <c r="E30" s="461"/>
      <c r="F30" s="461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463"/>
      <c r="Z30" s="463"/>
    </row>
    <row r="31" spans="1:33" ht="18.600000000000001" x14ac:dyDescent="0.3">
      <c r="B31" s="34"/>
      <c r="C31" s="34"/>
      <c r="D31" s="461"/>
      <c r="E31" s="461"/>
      <c r="F31" s="461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463"/>
      <c r="Z31" s="463"/>
    </row>
    <row r="32" spans="1:33" ht="18.600000000000001" x14ac:dyDescent="0.3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460" t="s">
        <v>28</v>
      </c>
      <c r="Z32" s="460"/>
    </row>
    <row r="33" spans="2:26" ht="18.600000000000001" x14ac:dyDescent="0.3"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460"/>
      <c r="Z33" s="460"/>
    </row>
    <row r="34" spans="2:26" ht="18.600000000000001" x14ac:dyDescent="0.3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460"/>
      <c r="Z34" s="460"/>
    </row>
    <row r="35" spans="2:26" ht="18.600000000000001" x14ac:dyDescent="0.3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460"/>
      <c r="Z35" s="460"/>
    </row>
    <row r="36" spans="2:26" ht="18.600000000000001" x14ac:dyDescent="0.3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460"/>
      <c r="Z36" s="460"/>
    </row>
    <row r="37" spans="2:26" ht="18.600000000000001" x14ac:dyDescent="0.3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</sheetData>
  <mergeCells count="27">
    <mergeCell ref="Y25:Z29"/>
    <mergeCell ref="Y32:Z36"/>
    <mergeCell ref="D26:F31"/>
    <mergeCell ref="X18:X23"/>
    <mergeCell ref="Y24:Z24"/>
    <mergeCell ref="Y30:Z31"/>
    <mergeCell ref="D2:AD3"/>
    <mergeCell ref="D1:AD1"/>
    <mergeCell ref="S18:T23"/>
    <mergeCell ref="U18:W23"/>
    <mergeCell ref="Y18:Z23"/>
    <mergeCell ref="M18:O23"/>
    <mergeCell ref="P18:R23"/>
    <mergeCell ref="D12:F15"/>
    <mergeCell ref="G12:I15"/>
    <mergeCell ref="J12:L15"/>
    <mergeCell ref="M12:O15"/>
    <mergeCell ref="P12:S15"/>
    <mergeCell ref="D18:F23"/>
    <mergeCell ref="G18:I23"/>
    <mergeCell ref="J18:L23"/>
    <mergeCell ref="D8:D11"/>
    <mergeCell ref="E8:E11"/>
    <mergeCell ref="F8:F11"/>
    <mergeCell ref="C6:G7"/>
    <mergeCell ref="A10:B13"/>
    <mergeCell ref="A21:B24"/>
  </mergeCells>
  <pageMargins left="0.7" right="0.7" top="0.75" bottom="0.75" header="0.3" footer="0.3"/>
  <pageSetup scale="4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D500-D6DA-468E-8E18-3D57511AB6C0}">
  <dimension ref="D1:O19"/>
  <sheetViews>
    <sheetView topLeftCell="C1" zoomScale="97" workbookViewId="0">
      <selection activeCell="P2" sqref="P2"/>
    </sheetView>
  </sheetViews>
  <sheetFormatPr defaultRowHeight="14.4" x14ac:dyDescent="0.3"/>
  <sheetData>
    <row r="1" spans="4:15" ht="15" thickBot="1" x14ac:dyDescent="0.35"/>
    <row r="2" spans="4:15" ht="15" thickTop="1" x14ac:dyDescent="0.3">
      <c r="D2" s="502" t="s">
        <v>289</v>
      </c>
      <c r="E2" s="503"/>
      <c r="F2" s="503"/>
      <c r="G2" s="503"/>
      <c r="H2" s="503"/>
      <c r="I2" s="503"/>
      <c r="J2" s="503"/>
      <c r="K2" s="503"/>
      <c r="L2" s="503"/>
      <c r="M2" s="503"/>
      <c r="N2" s="503"/>
      <c r="O2" s="504"/>
    </row>
    <row r="3" spans="4:15" ht="15" thickBot="1" x14ac:dyDescent="0.35">
      <c r="D3" s="505"/>
      <c r="E3" s="506"/>
      <c r="F3" s="506"/>
      <c r="G3" s="506"/>
      <c r="H3" s="506"/>
      <c r="I3" s="506"/>
      <c r="J3" s="506"/>
      <c r="K3" s="506"/>
      <c r="L3" s="506"/>
      <c r="M3" s="506"/>
      <c r="N3" s="506"/>
      <c r="O3" s="507"/>
    </row>
    <row r="4" spans="4:15" ht="15" thickTop="1" x14ac:dyDescent="0.3"/>
    <row r="6" spans="4:15" ht="15" thickBot="1" x14ac:dyDescent="0.35"/>
    <row r="7" spans="4:15" ht="16.8" thickTop="1" thickBot="1" x14ac:dyDescent="0.35">
      <c r="D7" s="484" t="s">
        <v>224</v>
      </c>
      <c r="E7" s="485"/>
      <c r="F7" s="486"/>
      <c r="G7" s="323"/>
      <c r="H7" s="493" t="s">
        <v>70</v>
      </c>
      <c r="I7" s="494"/>
      <c r="J7" s="494"/>
      <c r="K7" s="495"/>
      <c r="L7" s="323"/>
      <c r="M7" s="323"/>
      <c r="N7" s="323"/>
      <c r="O7" s="323"/>
    </row>
    <row r="8" spans="4:15" ht="16.8" thickTop="1" thickBot="1" x14ac:dyDescent="0.35">
      <c r="D8" s="487"/>
      <c r="E8" s="488"/>
      <c r="F8" s="489"/>
      <c r="G8" s="323"/>
      <c r="H8" s="499"/>
      <c r="I8" s="500"/>
      <c r="J8" s="500"/>
      <c r="K8" s="501"/>
      <c r="L8" s="323"/>
      <c r="M8" s="484" t="s">
        <v>31</v>
      </c>
      <c r="N8" s="485"/>
      <c r="O8" s="486"/>
    </row>
    <row r="9" spans="4:15" ht="16.2" thickTop="1" x14ac:dyDescent="0.3">
      <c r="D9" s="487"/>
      <c r="E9" s="488"/>
      <c r="F9" s="489"/>
      <c r="G9" s="323"/>
      <c r="H9" s="323"/>
      <c r="I9" s="323"/>
      <c r="J9" s="323"/>
      <c r="K9" s="323"/>
      <c r="L9" s="323"/>
      <c r="M9" s="487"/>
      <c r="N9" s="488"/>
      <c r="O9" s="489"/>
    </row>
    <row r="10" spans="4:15" ht="15.6" x14ac:dyDescent="0.3">
      <c r="D10" s="487"/>
      <c r="E10" s="488"/>
      <c r="F10" s="489"/>
      <c r="G10" s="323"/>
      <c r="H10" s="323"/>
      <c r="I10" s="323"/>
      <c r="J10" s="323"/>
      <c r="K10" s="323"/>
      <c r="L10" s="323"/>
      <c r="M10" s="487"/>
      <c r="N10" s="488"/>
      <c r="O10" s="489"/>
    </row>
    <row r="11" spans="4:15" ht="16.2" thickBot="1" x14ac:dyDescent="0.35">
      <c r="D11" s="487"/>
      <c r="E11" s="488"/>
      <c r="F11" s="489"/>
      <c r="G11" s="323"/>
      <c r="H11" s="323"/>
      <c r="I11" s="323"/>
      <c r="J11" s="323"/>
      <c r="K11" s="323"/>
      <c r="L11" s="323"/>
      <c r="M11" s="490"/>
      <c r="N11" s="491"/>
      <c r="O11" s="492"/>
    </row>
    <row r="12" spans="4:15" ht="16.8" thickTop="1" thickBot="1" x14ac:dyDescent="0.35">
      <c r="D12" s="487"/>
      <c r="E12" s="488"/>
      <c r="F12" s="489"/>
      <c r="G12" s="323"/>
      <c r="H12" s="323"/>
      <c r="I12" s="323"/>
      <c r="J12" s="323"/>
      <c r="K12" s="323"/>
      <c r="L12" s="323"/>
      <c r="M12" s="323"/>
      <c r="N12" s="323"/>
      <c r="O12" s="323"/>
    </row>
    <row r="13" spans="4:15" ht="16.8" thickTop="1" thickBot="1" x14ac:dyDescent="0.35">
      <c r="D13" s="490"/>
      <c r="E13" s="491"/>
      <c r="F13" s="492"/>
      <c r="G13" s="323"/>
      <c r="H13" s="323"/>
      <c r="I13" s="323"/>
      <c r="J13" s="323"/>
      <c r="K13" s="323"/>
      <c r="L13" s="323"/>
      <c r="M13" s="493" t="s">
        <v>28</v>
      </c>
      <c r="N13" s="494"/>
      <c r="O13" s="495"/>
    </row>
    <row r="14" spans="4:15" ht="16.2" thickTop="1" x14ac:dyDescent="0.3">
      <c r="D14" s="493" t="s">
        <v>288</v>
      </c>
      <c r="E14" s="494"/>
      <c r="F14" s="495"/>
      <c r="G14" s="323"/>
      <c r="H14" s="484" t="s">
        <v>221</v>
      </c>
      <c r="I14" s="486"/>
      <c r="J14" s="323"/>
      <c r="K14" s="323"/>
      <c r="L14" s="323"/>
      <c r="M14" s="496"/>
      <c r="N14" s="497"/>
      <c r="O14" s="498"/>
    </row>
    <row r="15" spans="4:15" ht="15.6" x14ac:dyDescent="0.3">
      <c r="D15" s="496"/>
      <c r="E15" s="497"/>
      <c r="F15" s="498"/>
      <c r="G15" s="323"/>
      <c r="H15" s="487"/>
      <c r="I15" s="489"/>
      <c r="J15" s="323"/>
      <c r="K15" s="323"/>
      <c r="L15" s="323"/>
      <c r="M15" s="496"/>
      <c r="N15" s="497"/>
      <c r="O15" s="498"/>
    </row>
    <row r="16" spans="4:15" ht="16.2" thickBot="1" x14ac:dyDescent="0.35">
      <c r="D16" s="496"/>
      <c r="E16" s="497"/>
      <c r="F16" s="498"/>
      <c r="G16" s="323"/>
      <c r="H16" s="490"/>
      <c r="I16" s="492"/>
      <c r="J16" s="323"/>
      <c r="K16" s="323"/>
      <c r="L16" s="323"/>
      <c r="M16" s="499"/>
      <c r="N16" s="500"/>
      <c r="O16" s="501"/>
    </row>
    <row r="17" spans="4:15" ht="16.2" thickTop="1" x14ac:dyDescent="0.3">
      <c r="D17" s="496"/>
      <c r="E17" s="497"/>
      <c r="F17" s="498"/>
      <c r="G17" s="323"/>
      <c r="H17" s="323"/>
      <c r="I17" s="323"/>
      <c r="J17" s="323"/>
      <c r="K17" s="323"/>
      <c r="L17" s="323"/>
      <c r="M17" s="323"/>
      <c r="N17" s="323"/>
      <c r="O17" s="323"/>
    </row>
    <row r="18" spans="4:15" ht="16.2" thickBot="1" x14ac:dyDescent="0.35">
      <c r="D18" s="499"/>
      <c r="E18" s="500"/>
      <c r="F18" s="501"/>
      <c r="G18" s="323"/>
      <c r="H18" s="323"/>
      <c r="I18" s="323"/>
      <c r="J18" s="323"/>
      <c r="K18" s="323"/>
      <c r="L18" s="323"/>
      <c r="M18" s="323"/>
      <c r="N18" s="323"/>
      <c r="O18" s="323"/>
    </row>
    <row r="19" spans="4:15" ht="15" thickTop="1" x14ac:dyDescent="0.3"/>
  </sheetData>
  <mergeCells count="7">
    <mergeCell ref="M8:O11"/>
    <mergeCell ref="M13:O16"/>
    <mergeCell ref="D2:O3"/>
    <mergeCell ref="H7:K8"/>
    <mergeCell ref="D7:F13"/>
    <mergeCell ref="D14:F18"/>
    <mergeCell ref="H14:I16"/>
  </mergeCells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8008-1A6F-47B8-A431-E219A1766DC9}">
  <sheetPr>
    <pageSetUpPr fitToPage="1"/>
  </sheetPr>
  <dimension ref="A1:M60"/>
  <sheetViews>
    <sheetView topLeftCell="B50" zoomScale="91" zoomScaleNormal="69" workbookViewId="0">
      <selection activeCell="D65" sqref="D65"/>
    </sheetView>
  </sheetViews>
  <sheetFormatPr defaultRowHeight="13.8" x14ac:dyDescent="0.3"/>
  <cols>
    <col min="1" max="1" width="58" style="1" customWidth="1"/>
    <col min="2" max="2" width="41.88671875" style="1" bestFit="1" customWidth="1"/>
    <col min="3" max="3" width="22.44140625" style="1" bestFit="1" customWidth="1"/>
    <col min="4" max="4" width="30.21875" style="1" customWidth="1"/>
    <col min="5" max="5" width="32.6640625" style="1" customWidth="1"/>
    <col min="6" max="6" width="34.109375" style="1" bestFit="1" customWidth="1"/>
    <col min="7" max="7" width="37.21875" style="1" customWidth="1"/>
    <col min="8" max="16384" width="8.88671875" style="1"/>
  </cols>
  <sheetData>
    <row r="1" spans="1:13" ht="56.4" customHeight="1" thickBot="1" x14ac:dyDescent="0.35">
      <c r="A1" s="42" t="s">
        <v>30</v>
      </c>
    </row>
    <row r="2" spans="1:13" ht="32.4" customHeight="1" x14ac:dyDescent="0.3"/>
    <row r="3" spans="1:13" ht="14.4" thickBot="1" x14ac:dyDescent="0.35"/>
    <row r="4" spans="1:13" ht="36.6" customHeight="1" thickTop="1" thickBot="1" x14ac:dyDescent="0.35">
      <c r="B4" s="43" t="s">
        <v>31</v>
      </c>
      <c r="C4" s="44"/>
      <c r="D4" s="45"/>
      <c r="E4" s="46"/>
      <c r="F4" s="45"/>
    </row>
    <row r="5" spans="1:13" ht="41.4" customHeight="1" thickTop="1" thickBot="1" x14ac:dyDescent="0.35">
      <c r="B5" s="51"/>
      <c r="C5" s="50" t="s">
        <v>33</v>
      </c>
      <c r="D5" s="47" t="s">
        <v>14</v>
      </c>
      <c r="E5" s="48"/>
      <c r="F5" s="49"/>
    </row>
    <row r="6" spans="1:13" ht="77.400000000000006" customHeight="1" thickTop="1" thickBot="1" x14ac:dyDescent="0.35">
      <c r="B6" s="136"/>
      <c r="C6" s="195" t="s">
        <v>32</v>
      </c>
      <c r="D6" s="196" t="s">
        <v>32</v>
      </c>
      <c r="E6" s="197" t="s">
        <v>34</v>
      </c>
      <c r="F6" s="197" t="s">
        <v>35</v>
      </c>
      <c r="G6" s="144"/>
      <c r="H6" s="144"/>
      <c r="I6" s="144"/>
      <c r="J6" s="144"/>
      <c r="K6" s="144"/>
      <c r="L6" s="144"/>
      <c r="M6" s="144"/>
    </row>
    <row r="7" spans="1:13" ht="13.8" customHeight="1" thickTop="1" x14ac:dyDescent="0.3">
      <c r="B7" s="555" t="s">
        <v>5</v>
      </c>
      <c r="C7" s="541">
        <v>0.5</v>
      </c>
      <c r="D7" s="539">
        <v>1.2</v>
      </c>
      <c r="E7" s="539">
        <v>1</v>
      </c>
      <c r="F7" s="539">
        <f>D7*E7</f>
        <v>1.2</v>
      </c>
      <c r="G7" s="530" t="s">
        <v>233</v>
      </c>
      <c r="H7" s="531"/>
      <c r="I7" s="531"/>
      <c r="J7" s="531"/>
      <c r="K7" s="531"/>
      <c r="L7" s="531"/>
      <c r="M7" s="532"/>
    </row>
    <row r="8" spans="1:13" ht="14.4" customHeight="1" thickBot="1" x14ac:dyDescent="0.35">
      <c r="B8" s="556"/>
      <c r="C8" s="542"/>
      <c r="D8" s="540"/>
      <c r="E8" s="540"/>
      <c r="F8" s="540"/>
      <c r="G8" s="533"/>
      <c r="H8" s="534"/>
      <c r="I8" s="534"/>
      <c r="J8" s="534"/>
      <c r="K8" s="534"/>
      <c r="L8" s="534"/>
      <c r="M8" s="535"/>
    </row>
    <row r="9" spans="1:13" ht="14.4" customHeight="1" thickTop="1" x14ac:dyDescent="0.3">
      <c r="B9" s="551"/>
      <c r="C9" s="553"/>
      <c r="D9" s="554"/>
      <c r="E9" s="554"/>
      <c r="F9" s="543"/>
      <c r="G9" s="533"/>
      <c r="H9" s="534"/>
      <c r="I9" s="534"/>
      <c r="J9" s="534"/>
      <c r="K9" s="534"/>
      <c r="L9" s="534"/>
      <c r="M9" s="535"/>
    </row>
    <row r="10" spans="1:13" ht="14.4" customHeight="1" thickBot="1" x14ac:dyDescent="0.35">
      <c r="B10" s="552"/>
      <c r="C10" s="553"/>
      <c r="D10" s="554"/>
      <c r="E10" s="554"/>
      <c r="F10" s="544"/>
      <c r="G10" s="536"/>
      <c r="H10" s="537"/>
      <c r="I10" s="537"/>
      <c r="J10" s="537"/>
      <c r="K10" s="537"/>
      <c r="L10" s="537"/>
      <c r="M10" s="538"/>
    </row>
    <row r="11" spans="1:13" ht="17.399999999999999" thickTop="1" x14ac:dyDescent="0.3">
      <c r="B11" s="547" t="s">
        <v>36</v>
      </c>
      <c r="C11" s="541">
        <v>3</v>
      </c>
      <c r="D11" s="539">
        <v>5</v>
      </c>
      <c r="E11" s="539">
        <v>1.5</v>
      </c>
      <c r="F11" s="539">
        <f t="shared" ref="F11" si="0">D11*E11</f>
        <v>7.5</v>
      </c>
      <c r="G11" s="144"/>
      <c r="H11" s="144"/>
      <c r="I11" s="144"/>
      <c r="J11" s="144"/>
      <c r="K11" s="144"/>
      <c r="L11" s="144"/>
      <c r="M11" s="144"/>
    </row>
    <row r="12" spans="1:13" ht="17.399999999999999" thickBot="1" x14ac:dyDescent="0.35">
      <c r="B12" s="548"/>
      <c r="C12" s="542"/>
      <c r="D12" s="540"/>
      <c r="E12" s="540"/>
      <c r="F12" s="540"/>
      <c r="G12" s="144"/>
      <c r="H12" s="144"/>
      <c r="I12" s="144"/>
      <c r="J12" s="144"/>
      <c r="K12" s="144"/>
      <c r="L12" s="144"/>
      <c r="M12" s="144"/>
    </row>
    <row r="13" spans="1:13" ht="17.399999999999999" thickTop="1" x14ac:dyDescent="0.3">
      <c r="B13" s="549"/>
      <c r="C13" s="545"/>
      <c r="D13" s="543"/>
      <c r="E13" s="543"/>
      <c r="F13" s="543"/>
      <c r="G13" s="144"/>
      <c r="H13" s="144"/>
      <c r="I13" s="144"/>
      <c r="J13" s="144"/>
      <c r="K13" s="144"/>
      <c r="L13" s="144"/>
      <c r="M13" s="144"/>
    </row>
    <row r="14" spans="1:13" ht="17.399999999999999" thickBot="1" x14ac:dyDescent="0.35">
      <c r="B14" s="550"/>
      <c r="C14" s="546"/>
      <c r="D14" s="544"/>
      <c r="E14" s="544"/>
      <c r="F14" s="544"/>
      <c r="G14" s="144"/>
      <c r="H14" s="144"/>
      <c r="I14" s="144"/>
      <c r="J14" s="144"/>
      <c r="K14" s="144"/>
      <c r="L14" s="144"/>
      <c r="M14" s="144"/>
    </row>
    <row r="15" spans="1:13" ht="17.399999999999999" thickTop="1" x14ac:dyDescent="0.3">
      <c r="B15" s="547" t="s">
        <v>37</v>
      </c>
      <c r="C15" s="541">
        <v>2</v>
      </c>
      <c r="D15" s="539">
        <v>3</v>
      </c>
      <c r="E15" s="539">
        <v>2.5</v>
      </c>
      <c r="F15" s="539">
        <f t="shared" ref="F15" si="1">D15*E15</f>
        <v>7.5</v>
      </c>
      <c r="G15" s="144"/>
      <c r="H15" s="144"/>
      <c r="I15" s="144"/>
      <c r="J15" s="144"/>
      <c r="K15" s="144"/>
      <c r="L15" s="144"/>
      <c r="M15" s="144"/>
    </row>
    <row r="16" spans="1:13" ht="17.399999999999999" thickBot="1" x14ac:dyDescent="0.35">
      <c r="B16" s="548"/>
      <c r="C16" s="542"/>
      <c r="D16" s="540"/>
      <c r="E16" s="540"/>
      <c r="F16" s="540"/>
      <c r="G16" s="144"/>
      <c r="H16" s="144"/>
      <c r="I16" s="144"/>
      <c r="J16" s="144"/>
      <c r="K16" s="144"/>
      <c r="L16" s="144"/>
      <c r="M16" s="144"/>
    </row>
    <row r="17" spans="1:13" ht="18" thickTop="1" thickBot="1" x14ac:dyDescent="0.35">
      <c r="B17" s="202"/>
      <c r="C17" s="203"/>
      <c r="D17" s="204"/>
      <c r="E17" s="205" t="s">
        <v>39</v>
      </c>
      <c r="F17" s="205">
        <f>SUM(F7,F11,F15)</f>
        <v>16.2</v>
      </c>
      <c r="G17" s="206" t="s">
        <v>40</v>
      </c>
      <c r="H17" s="144"/>
      <c r="I17" s="144"/>
      <c r="J17" s="144"/>
      <c r="K17" s="144"/>
      <c r="L17" s="144"/>
      <c r="M17" s="144"/>
    </row>
    <row r="18" spans="1:13" ht="17.399999999999999" thickTop="1" x14ac:dyDescent="0.3"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</row>
    <row r="19" spans="1:13" ht="17.399999999999999" thickBot="1" x14ac:dyDescent="0.35"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</row>
    <row r="20" spans="1:13" ht="64.2" customHeight="1" thickTop="1" thickBot="1" x14ac:dyDescent="0.35">
      <c r="B20" s="144"/>
      <c r="C20" s="144"/>
      <c r="D20" s="144"/>
      <c r="E20" s="207" t="s">
        <v>38</v>
      </c>
      <c r="F20" s="208">
        <f>F17/7</f>
        <v>2.3142857142857141</v>
      </c>
      <c r="G20" s="209" t="s">
        <v>41</v>
      </c>
      <c r="H20" s="144"/>
      <c r="I20" s="144"/>
      <c r="J20" s="144"/>
      <c r="K20" s="144"/>
      <c r="L20" s="144"/>
      <c r="M20" s="144"/>
    </row>
    <row r="21" spans="1:13" ht="10.8" customHeight="1" thickTop="1" x14ac:dyDescent="0.3"/>
    <row r="22" spans="1:13" ht="51" customHeight="1" thickBot="1" x14ac:dyDescent="0.35"/>
    <row r="23" spans="1:13" ht="42" customHeight="1" thickTop="1" thickBot="1" x14ac:dyDescent="0.35">
      <c r="A23" s="144"/>
      <c r="B23" s="210" t="s">
        <v>28</v>
      </c>
      <c r="C23" s="144"/>
      <c r="D23" s="144"/>
      <c r="E23" s="144"/>
      <c r="F23" s="144"/>
      <c r="G23" s="144"/>
    </row>
    <row r="24" spans="1:13" ht="18" thickTop="1" thickBot="1" x14ac:dyDescent="0.35">
      <c r="A24" s="144"/>
      <c r="B24" s="211" t="s">
        <v>42</v>
      </c>
      <c r="C24" s="144"/>
      <c r="D24" s="144"/>
      <c r="E24" s="144"/>
      <c r="F24" s="144"/>
      <c r="G24" s="144"/>
    </row>
    <row r="25" spans="1:13" ht="18" thickTop="1" thickBot="1" x14ac:dyDescent="0.35">
      <c r="A25" s="144"/>
      <c r="B25" s="212"/>
      <c r="C25" s="213"/>
      <c r="D25" s="213"/>
      <c r="E25" s="214"/>
      <c r="F25" s="144"/>
      <c r="G25" s="144"/>
    </row>
    <row r="26" spans="1:13" ht="13.8" customHeight="1" thickTop="1" x14ac:dyDescent="0.3">
      <c r="A26" s="144"/>
      <c r="B26" s="516" t="s">
        <v>53</v>
      </c>
      <c r="C26" s="198" t="s">
        <v>43</v>
      </c>
      <c r="D26" s="215" t="s">
        <v>44</v>
      </c>
      <c r="E26" s="198">
        <v>5500</v>
      </c>
      <c r="F26" s="144"/>
      <c r="G26" s="144"/>
    </row>
    <row r="27" spans="1:13" ht="16.8" x14ac:dyDescent="0.3">
      <c r="A27" s="144"/>
      <c r="B27" s="517"/>
      <c r="C27" s="216" t="s">
        <v>45</v>
      </c>
      <c r="D27" s="217" t="s">
        <v>46</v>
      </c>
      <c r="E27" s="216">
        <f>E26 * 1.2</f>
        <v>6600</v>
      </c>
      <c r="F27" s="144"/>
      <c r="G27" s="144"/>
    </row>
    <row r="28" spans="1:13" ht="16.8" x14ac:dyDescent="0.3">
      <c r="A28" s="144"/>
      <c r="B28" s="517"/>
      <c r="C28" s="216" t="s">
        <v>47</v>
      </c>
      <c r="D28" s="217" t="s">
        <v>46</v>
      </c>
      <c r="E28" s="216">
        <f t="shared" ref="E28:E30" si="2">E27 * 1.2</f>
        <v>7920</v>
      </c>
      <c r="F28" s="144"/>
      <c r="G28" s="144"/>
    </row>
    <row r="29" spans="1:13" ht="16.8" x14ac:dyDescent="0.3">
      <c r="A29" s="144"/>
      <c r="B29" s="517"/>
      <c r="C29" s="216" t="s">
        <v>48</v>
      </c>
      <c r="D29" s="217" t="s">
        <v>46</v>
      </c>
      <c r="E29" s="216">
        <f t="shared" si="2"/>
        <v>9504</v>
      </c>
      <c r="F29" s="144"/>
      <c r="G29" s="144"/>
    </row>
    <row r="30" spans="1:13" ht="17.399999999999999" thickBot="1" x14ac:dyDescent="0.35">
      <c r="A30" s="144"/>
      <c r="B30" s="518"/>
      <c r="C30" s="199" t="s">
        <v>49</v>
      </c>
      <c r="D30" s="218" t="s">
        <v>46</v>
      </c>
      <c r="E30" s="199">
        <f t="shared" si="2"/>
        <v>11404.8</v>
      </c>
      <c r="F30" s="144"/>
      <c r="G30" s="144"/>
    </row>
    <row r="31" spans="1:13" ht="17.399999999999999" thickTop="1" x14ac:dyDescent="0.3">
      <c r="A31" s="144"/>
      <c r="B31" s="219"/>
      <c r="C31" s="201"/>
      <c r="D31" s="200"/>
      <c r="E31" s="201"/>
      <c r="F31" s="144"/>
      <c r="G31" s="144"/>
    </row>
    <row r="32" spans="1:13" ht="16.8" x14ac:dyDescent="0.3">
      <c r="A32" s="144"/>
      <c r="B32" s="219"/>
      <c r="C32" s="201"/>
      <c r="D32" s="200"/>
      <c r="E32" s="201"/>
      <c r="F32" s="144"/>
      <c r="G32" s="144"/>
    </row>
    <row r="33" spans="1:7" ht="17.399999999999999" thickBot="1" x14ac:dyDescent="0.35">
      <c r="A33" s="144"/>
      <c r="B33" s="219"/>
      <c r="C33" s="201"/>
      <c r="D33" s="200"/>
      <c r="E33" s="201"/>
      <c r="F33" s="144"/>
      <c r="G33" s="144"/>
    </row>
    <row r="34" spans="1:7" ht="13.8" customHeight="1" thickTop="1" x14ac:dyDescent="0.3">
      <c r="A34" s="144"/>
      <c r="B34" s="519" t="s">
        <v>52</v>
      </c>
      <c r="C34" s="198" t="s">
        <v>43</v>
      </c>
      <c r="D34" s="215" t="s">
        <v>44</v>
      </c>
      <c r="E34" s="198">
        <v>2900</v>
      </c>
      <c r="F34" s="144"/>
      <c r="G34" s="144"/>
    </row>
    <row r="35" spans="1:7" ht="16.8" x14ac:dyDescent="0.3">
      <c r="A35" s="144"/>
      <c r="B35" s="520"/>
      <c r="C35" s="216" t="s">
        <v>45</v>
      </c>
      <c r="D35" s="217" t="s">
        <v>46</v>
      </c>
      <c r="E35" s="216">
        <f>E34 * 1.1</f>
        <v>3190.0000000000005</v>
      </c>
      <c r="F35" s="144"/>
      <c r="G35" s="144"/>
    </row>
    <row r="36" spans="1:7" ht="16.8" x14ac:dyDescent="0.3">
      <c r="A36" s="144"/>
      <c r="B36" s="520"/>
      <c r="C36" s="216" t="s">
        <v>47</v>
      </c>
      <c r="D36" s="217" t="s">
        <v>46</v>
      </c>
      <c r="E36" s="216">
        <f>1.1*E35</f>
        <v>3509.0000000000009</v>
      </c>
      <c r="F36" s="144"/>
      <c r="G36" s="144"/>
    </row>
    <row r="37" spans="1:7" ht="16.8" x14ac:dyDescent="0.3">
      <c r="A37" s="144"/>
      <c r="B37" s="520"/>
      <c r="C37" s="216" t="s">
        <v>48</v>
      </c>
      <c r="D37" s="217" t="s">
        <v>46</v>
      </c>
      <c r="E37" s="216">
        <f>1.1*E36</f>
        <v>3859.9000000000015</v>
      </c>
      <c r="F37" s="144"/>
      <c r="G37" s="144"/>
    </row>
    <row r="38" spans="1:7" ht="17.399999999999999" thickBot="1" x14ac:dyDescent="0.35">
      <c r="A38" s="144"/>
      <c r="B38" s="521"/>
      <c r="C38" s="199" t="s">
        <v>49</v>
      </c>
      <c r="D38" s="218" t="s">
        <v>46</v>
      </c>
      <c r="E38" s="199">
        <f>1.1*E37</f>
        <v>4245.8900000000021</v>
      </c>
      <c r="F38" s="144"/>
      <c r="G38" s="144"/>
    </row>
    <row r="39" spans="1:7" ht="18" thickTop="1" thickBot="1" x14ac:dyDescent="0.35">
      <c r="A39" s="144"/>
      <c r="B39" s="144"/>
      <c r="C39" s="144"/>
      <c r="D39" s="144"/>
      <c r="E39" s="144"/>
      <c r="F39" s="144"/>
      <c r="G39" s="144"/>
    </row>
    <row r="40" spans="1:7" ht="18" thickTop="1" thickBot="1" x14ac:dyDescent="0.35">
      <c r="A40" s="144"/>
      <c r="B40" s="144"/>
      <c r="C40" s="202"/>
      <c r="D40" s="202"/>
      <c r="E40" s="202"/>
      <c r="F40" s="144"/>
      <c r="G40" s="144"/>
    </row>
    <row r="41" spans="1:7" ht="17.399999999999999" thickTop="1" x14ac:dyDescent="0.3">
      <c r="A41" s="144"/>
      <c r="B41" s="144"/>
      <c r="C41" s="508" t="s">
        <v>51</v>
      </c>
      <c r="D41" s="509"/>
      <c r="E41" s="512">
        <f>E38/66</f>
        <v>64.331666666666706</v>
      </c>
      <c r="F41" s="144"/>
      <c r="G41" s="144"/>
    </row>
    <row r="42" spans="1:7" ht="17.399999999999999" thickBot="1" x14ac:dyDescent="0.35">
      <c r="A42" s="144"/>
      <c r="B42" s="144"/>
      <c r="C42" s="510"/>
      <c r="D42" s="511"/>
      <c r="E42" s="513"/>
      <c r="F42" s="144"/>
      <c r="G42" s="144"/>
    </row>
    <row r="43" spans="1:7" ht="17.399999999999999" thickTop="1" x14ac:dyDescent="0.3">
      <c r="A43" s="144"/>
      <c r="B43" s="144"/>
      <c r="C43" s="144"/>
      <c r="D43" s="144"/>
      <c r="E43" s="144"/>
      <c r="F43" s="144"/>
      <c r="G43" s="144"/>
    </row>
    <row r="44" spans="1:7" ht="17.399999999999999" thickBot="1" x14ac:dyDescent="0.35">
      <c r="A44" s="144"/>
      <c r="B44" s="144"/>
      <c r="C44" s="144"/>
      <c r="D44" s="144"/>
      <c r="E44" s="144"/>
      <c r="F44" s="144"/>
      <c r="G44" s="144"/>
    </row>
    <row r="45" spans="1:7" ht="18" thickTop="1" thickBot="1" x14ac:dyDescent="0.35">
      <c r="A45" s="144"/>
      <c r="B45" s="220" t="s">
        <v>54</v>
      </c>
      <c r="C45" s="221" t="s">
        <v>55</v>
      </c>
      <c r="D45" s="221" t="s">
        <v>56</v>
      </c>
      <c r="E45" s="221" t="s">
        <v>57</v>
      </c>
      <c r="F45" s="222" t="s">
        <v>65</v>
      </c>
      <c r="G45" s="144"/>
    </row>
    <row r="46" spans="1:7" ht="18" thickTop="1" thickBot="1" x14ac:dyDescent="0.35">
      <c r="A46" s="144"/>
      <c r="B46" s="223" t="s">
        <v>58</v>
      </c>
      <c r="C46" s="224">
        <f>E30</f>
        <v>11404.8</v>
      </c>
      <c r="D46" s="224">
        <v>600</v>
      </c>
      <c r="E46" s="224">
        <f>C46/D46</f>
        <v>19.007999999999999</v>
      </c>
      <c r="F46" s="225">
        <f>E46/3</f>
        <v>6.3359999999999994</v>
      </c>
      <c r="G46" s="144"/>
    </row>
    <row r="47" spans="1:7" ht="18" thickTop="1" thickBot="1" x14ac:dyDescent="0.35">
      <c r="A47" s="144"/>
      <c r="B47" s="226"/>
      <c r="C47" s="227"/>
      <c r="D47" s="227"/>
      <c r="E47" s="227"/>
      <c r="F47" s="228"/>
      <c r="G47" s="144"/>
    </row>
    <row r="48" spans="1:7" ht="18" thickTop="1" thickBot="1" x14ac:dyDescent="0.35">
      <c r="A48" s="144"/>
      <c r="B48" s="229" t="s">
        <v>54</v>
      </c>
      <c r="C48" s="230" t="s">
        <v>61</v>
      </c>
      <c r="D48" s="230" t="s">
        <v>62</v>
      </c>
      <c r="E48" s="230" t="s">
        <v>63</v>
      </c>
      <c r="F48" s="231" t="s">
        <v>64</v>
      </c>
      <c r="G48" s="144"/>
    </row>
    <row r="49" spans="1:7" ht="18" thickTop="1" thickBot="1" x14ac:dyDescent="0.35">
      <c r="A49" s="144"/>
      <c r="B49" s="232" t="s">
        <v>50</v>
      </c>
      <c r="C49" s="233">
        <f>E41</f>
        <v>64.331666666666706</v>
      </c>
      <c r="D49" s="234">
        <v>30</v>
      </c>
      <c r="E49" s="234">
        <f>C49/D49</f>
        <v>2.1443888888888902</v>
      </c>
      <c r="F49" s="235">
        <f>E49/3</f>
        <v>0.71479629629629671</v>
      </c>
      <c r="G49" s="144"/>
    </row>
    <row r="50" spans="1:7" ht="18" thickTop="1" thickBot="1" x14ac:dyDescent="0.35">
      <c r="A50" s="144"/>
      <c r="B50" s="236"/>
      <c r="C50" s="137"/>
      <c r="D50" s="137"/>
      <c r="E50" s="137"/>
      <c r="F50" s="176"/>
      <c r="G50" s="144"/>
    </row>
    <row r="51" spans="1:7" ht="17.399999999999999" thickTop="1" x14ac:dyDescent="0.3">
      <c r="A51" s="144"/>
      <c r="B51" s="175"/>
      <c r="C51" s="149"/>
      <c r="D51" s="237"/>
      <c r="E51" s="238" t="s">
        <v>66</v>
      </c>
      <c r="F51" s="239">
        <f>SUM(F46,F48:F49)</f>
        <v>7.050796296296296</v>
      </c>
      <c r="G51" s="144"/>
    </row>
    <row r="52" spans="1:7" ht="16.8" x14ac:dyDescent="0.3">
      <c r="A52" s="144"/>
      <c r="B52" s="175"/>
      <c r="C52" s="149"/>
      <c r="D52" s="151"/>
      <c r="E52" s="151"/>
      <c r="F52" s="240"/>
      <c r="G52" s="144"/>
    </row>
    <row r="53" spans="1:7" ht="66.599999999999994" customHeight="1" thickBot="1" x14ac:dyDescent="0.35">
      <c r="A53" s="144"/>
      <c r="B53" s="236"/>
      <c r="C53" s="137"/>
      <c r="D53" s="241" t="s">
        <v>67</v>
      </c>
      <c r="E53" s="242" t="s">
        <v>68</v>
      </c>
      <c r="F53" s="243" t="s">
        <v>69</v>
      </c>
      <c r="G53" s="144"/>
    </row>
    <row r="54" spans="1:7" ht="14.4" thickTop="1" x14ac:dyDescent="0.3">
      <c r="B54" s="526"/>
      <c r="C54" s="526"/>
      <c r="D54" s="527" t="s">
        <v>339</v>
      </c>
      <c r="E54" s="528"/>
      <c r="F54" s="528"/>
    </row>
    <row r="55" spans="1:7" ht="39" customHeight="1" x14ac:dyDescent="0.3">
      <c r="B55" s="483"/>
      <c r="C55" s="483"/>
      <c r="D55" s="529"/>
      <c r="E55" s="529"/>
      <c r="F55" s="529"/>
    </row>
    <row r="57" spans="1:7" ht="14.4" thickBot="1" x14ac:dyDescent="0.35"/>
    <row r="58" spans="1:7" ht="60.6" customHeight="1" thickTop="1" thickBot="1" x14ac:dyDescent="0.35">
      <c r="B58" s="522" t="s">
        <v>59</v>
      </c>
      <c r="C58" s="514" t="s">
        <v>60</v>
      </c>
      <c r="D58" s="515"/>
    </row>
    <row r="59" spans="1:7" ht="60.6" customHeight="1" thickTop="1" thickBot="1" x14ac:dyDescent="0.35">
      <c r="B59" s="523"/>
      <c r="C59" s="524" t="s">
        <v>29</v>
      </c>
      <c r="D59" s="525"/>
    </row>
    <row r="60" spans="1:7" ht="14.4" thickTop="1" x14ac:dyDescent="0.3"/>
  </sheetData>
  <mergeCells count="35">
    <mergeCell ref="B9:B10"/>
    <mergeCell ref="C9:C10"/>
    <mergeCell ref="D9:D10"/>
    <mergeCell ref="E9:E10"/>
    <mergeCell ref="B7:B8"/>
    <mergeCell ref="C7:C8"/>
    <mergeCell ref="D7:D8"/>
    <mergeCell ref="E7:E8"/>
    <mergeCell ref="B11:B12"/>
    <mergeCell ref="B13:B14"/>
    <mergeCell ref="B15:B16"/>
    <mergeCell ref="C11:C12"/>
    <mergeCell ref="D11:D12"/>
    <mergeCell ref="G7:M10"/>
    <mergeCell ref="F11:F12"/>
    <mergeCell ref="C15:C16"/>
    <mergeCell ref="D15:D16"/>
    <mergeCell ref="E15:E16"/>
    <mergeCell ref="F15:F16"/>
    <mergeCell ref="F9:F10"/>
    <mergeCell ref="F13:F14"/>
    <mergeCell ref="C13:C14"/>
    <mergeCell ref="D13:D14"/>
    <mergeCell ref="E13:E14"/>
    <mergeCell ref="E11:E12"/>
    <mergeCell ref="F7:F8"/>
    <mergeCell ref="C41:D42"/>
    <mergeCell ref="E41:E42"/>
    <mergeCell ref="C58:D58"/>
    <mergeCell ref="B26:B30"/>
    <mergeCell ref="B34:B38"/>
    <mergeCell ref="B58:B59"/>
    <mergeCell ref="C59:D59"/>
    <mergeCell ref="B54:C55"/>
    <mergeCell ref="D54:F55"/>
  </mergeCells>
  <hyperlinks>
    <hyperlink ref="C59" r:id="rId1" xr:uid="{6B643F03-6FD0-49FA-813F-9FD70E450BDA}"/>
  </hyperlinks>
  <pageMargins left="0.7" right="0.7" top="0.75" bottom="0.75" header="0.3" footer="0.3"/>
  <pageSetup scale="2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281B-207C-492E-8D0B-D59B8B3C91A7}">
  <dimension ref="A1:F34"/>
  <sheetViews>
    <sheetView topLeftCell="B18" zoomScale="99" workbookViewId="0">
      <selection activeCell="I32" sqref="I32"/>
    </sheetView>
  </sheetViews>
  <sheetFormatPr defaultRowHeight="14.4" x14ac:dyDescent="0.3"/>
  <cols>
    <col min="1" max="1" width="52.33203125" style="150" customWidth="1"/>
    <col min="2" max="2" width="25.5546875" style="150" customWidth="1"/>
    <col min="3" max="3" width="16.21875" style="150" customWidth="1"/>
    <col min="4" max="4" width="22" style="150" bestFit="1" customWidth="1"/>
    <col min="5" max="5" width="17.21875" style="150" customWidth="1"/>
    <col min="6" max="6" width="16.21875" style="150" bestFit="1" customWidth="1"/>
    <col min="7" max="16384" width="8.88671875" style="150"/>
  </cols>
  <sheetData>
    <row r="1" spans="1:5" ht="52.8" customHeight="1" thickBot="1" x14ac:dyDescent="0.35">
      <c r="A1" s="42" t="s">
        <v>70</v>
      </c>
    </row>
    <row r="2" spans="1:5" ht="15" thickBot="1" x14ac:dyDescent="0.35"/>
    <row r="3" spans="1:5" ht="15" thickTop="1" x14ac:dyDescent="0.3">
      <c r="B3" s="583" t="s">
        <v>53</v>
      </c>
      <c r="C3" s="254" t="s">
        <v>43</v>
      </c>
      <c r="D3" s="165" t="s">
        <v>44</v>
      </c>
      <c r="E3" s="255">
        <v>37012</v>
      </c>
    </row>
    <row r="4" spans="1:5" x14ac:dyDescent="0.3">
      <c r="B4" s="584"/>
      <c r="C4" s="256" t="s">
        <v>45</v>
      </c>
      <c r="D4" s="166" t="s">
        <v>46</v>
      </c>
      <c r="E4" s="257">
        <f>E3 * 1.2</f>
        <v>44414.400000000001</v>
      </c>
    </row>
    <row r="5" spans="1:5" x14ac:dyDescent="0.3">
      <c r="B5" s="584"/>
      <c r="C5" s="256" t="s">
        <v>47</v>
      </c>
      <c r="D5" s="166" t="s">
        <v>46</v>
      </c>
      <c r="E5" s="257">
        <f t="shared" ref="E5:E7" si="0">E4 * 1.2</f>
        <v>53297.279999999999</v>
      </c>
    </row>
    <row r="6" spans="1:5" x14ac:dyDescent="0.3">
      <c r="B6" s="584"/>
      <c r="C6" s="256" t="s">
        <v>48</v>
      </c>
      <c r="D6" s="166" t="s">
        <v>46</v>
      </c>
      <c r="E6" s="257">
        <f t="shared" si="0"/>
        <v>63956.735999999997</v>
      </c>
    </row>
    <row r="7" spans="1:5" ht="15" thickBot="1" x14ac:dyDescent="0.35">
      <c r="B7" s="585"/>
      <c r="C7" s="258" t="s">
        <v>49</v>
      </c>
      <c r="D7" s="167" t="s">
        <v>46</v>
      </c>
      <c r="E7" s="259">
        <f t="shared" si="0"/>
        <v>76748.083199999994</v>
      </c>
    </row>
    <row r="8" spans="1:5" ht="15" thickTop="1" x14ac:dyDescent="0.3">
      <c r="B8" s="164"/>
      <c r="C8" s="164"/>
      <c r="D8" s="164"/>
      <c r="E8" s="164"/>
    </row>
    <row r="9" spans="1:5" x14ac:dyDescent="0.3">
      <c r="B9" s="164"/>
      <c r="C9" s="164"/>
      <c r="D9" s="164"/>
      <c r="E9" s="164"/>
    </row>
    <row r="10" spans="1:5" ht="15" thickBot="1" x14ac:dyDescent="0.35">
      <c r="B10" s="164"/>
      <c r="C10" s="164"/>
      <c r="D10" s="164"/>
      <c r="E10" s="164"/>
    </row>
    <row r="11" spans="1:5" ht="15" thickTop="1" x14ac:dyDescent="0.3">
      <c r="B11" s="586" t="s">
        <v>52</v>
      </c>
      <c r="C11" s="165" t="s">
        <v>43</v>
      </c>
      <c r="D11" s="36" t="s">
        <v>44</v>
      </c>
      <c r="E11" s="39">
        <v>102100</v>
      </c>
    </row>
    <row r="12" spans="1:5" x14ac:dyDescent="0.3">
      <c r="B12" s="587"/>
      <c r="C12" s="166" t="s">
        <v>45</v>
      </c>
      <c r="D12" s="37" t="s">
        <v>46</v>
      </c>
      <c r="E12" s="40">
        <f>E11 * 1.1</f>
        <v>112310.00000000001</v>
      </c>
    </row>
    <row r="13" spans="1:5" x14ac:dyDescent="0.3">
      <c r="B13" s="587"/>
      <c r="C13" s="166" t="s">
        <v>47</v>
      </c>
      <c r="D13" s="37" t="s">
        <v>46</v>
      </c>
      <c r="E13" s="40">
        <f>1.1*E12</f>
        <v>123541.00000000003</v>
      </c>
    </row>
    <row r="14" spans="1:5" x14ac:dyDescent="0.3">
      <c r="B14" s="587"/>
      <c r="C14" s="166" t="s">
        <v>48</v>
      </c>
      <c r="D14" s="37" t="s">
        <v>46</v>
      </c>
      <c r="E14" s="40">
        <f>1.1*E13</f>
        <v>135895.10000000003</v>
      </c>
    </row>
    <row r="15" spans="1:5" ht="15" thickBot="1" x14ac:dyDescent="0.35">
      <c r="B15" s="588"/>
      <c r="C15" s="167" t="s">
        <v>49</v>
      </c>
      <c r="D15" s="38" t="s">
        <v>46</v>
      </c>
      <c r="E15" s="41">
        <f>1.1*E14</f>
        <v>149484.61000000004</v>
      </c>
    </row>
    <row r="16" spans="1:5" ht="15.6" thickTop="1" thickBot="1" x14ac:dyDescent="0.35"/>
    <row r="17" spans="3:6" ht="15" thickTop="1" x14ac:dyDescent="0.3">
      <c r="C17" s="589" t="s">
        <v>71</v>
      </c>
      <c r="D17" s="590"/>
      <c r="E17" s="592">
        <f>SUM(E15,E7)</f>
        <v>226232.69320000004</v>
      </c>
    </row>
    <row r="18" spans="3:6" ht="15" thickBot="1" x14ac:dyDescent="0.35">
      <c r="C18" s="569"/>
      <c r="D18" s="591"/>
      <c r="E18" s="593"/>
    </row>
    <row r="19" spans="3:6" ht="15.6" thickTop="1" thickBot="1" x14ac:dyDescent="0.35">
      <c r="C19" s="260"/>
      <c r="D19" s="261"/>
      <c r="E19" s="364"/>
    </row>
    <row r="20" spans="3:6" ht="15" thickTop="1" x14ac:dyDescent="0.3">
      <c r="C20" s="594" t="s">
        <v>72</v>
      </c>
      <c r="D20" s="595"/>
      <c r="E20" s="604">
        <f>0.33*E17</f>
        <v>74656.788756000009</v>
      </c>
      <c r="F20" s="575"/>
    </row>
    <row r="21" spans="3:6" ht="28.8" customHeight="1" thickBot="1" x14ac:dyDescent="0.35">
      <c r="C21" s="596"/>
      <c r="D21" s="597"/>
      <c r="E21" s="605"/>
      <c r="F21" s="576"/>
    </row>
    <row r="22" spans="3:6" ht="15" thickTop="1" x14ac:dyDescent="0.3">
      <c r="C22" s="563" t="s">
        <v>73</v>
      </c>
      <c r="D22" s="598"/>
      <c r="E22" s="601">
        <f>22000+17550</f>
        <v>39550</v>
      </c>
      <c r="F22" s="572" t="s">
        <v>74</v>
      </c>
    </row>
    <row r="23" spans="3:6" ht="27.6" customHeight="1" thickBot="1" x14ac:dyDescent="0.35">
      <c r="C23" s="599"/>
      <c r="D23" s="600"/>
      <c r="E23" s="602"/>
      <c r="F23" s="603"/>
    </row>
    <row r="24" spans="3:6" ht="37.200000000000003" customHeight="1" thickTop="1" x14ac:dyDescent="0.3">
      <c r="C24" s="579" t="s">
        <v>75</v>
      </c>
      <c r="D24" s="580"/>
      <c r="E24" s="577">
        <f>E22+36000</f>
        <v>75550</v>
      </c>
      <c r="F24" s="575" t="s">
        <v>74</v>
      </c>
    </row>
    <row r="25" spans="3:6" ht="15" thickBot="1" x14ac:dyDescent="0.35">
      <c r="C25" s="581"/>
      <c r="D25" s="582"/>
      <c r="E25" s="578"/>
      <c r="F25" s="576"/>
    </row>
    <row r="26" spans="3:6" ht="15.6" thickTop="1" thickBot="1" x14ac:dyDescent="0.35">
      <c r="C26" s="365"/>
      <c r="D26" s="366"/>
      <c r="E26" s="366"/>
      <c r="F26" s="367"/>
    </row>
    <row r="27" spans="3:6" ht="15" customHeight="1" thickTop="1" x14ac:dyDescent="0.3">
      <c r="C27" s="557" t="s">
        <v>215</v>
      </c>
      <c r="D27" s="558"/>
      <c r="E27" s="558"/>
      <c r="F27" s="559"/>
    </row>
    <row r="28" spans="3:6" ht="42.6" customHeight="1" thickBot="1" x14ac:dyDescent="0.35">
      <c r="C28" s="560"/>
      <c r="D28" s="561"/>
      <c r="E28" s="561"/>
      <c r="F28" s="562"/>
    </row>
    <row r="29" spans="3:6" ht="15.6" thickTop="1" thickBot="1" x14ac:dyDescent="0.35">
      <c r="C29" s="262"/>
      <c r="D29" s="263"/>
      <c r="E29" s="263"/>
      <c r="F29" s="264"/>
    </row>
    <row r="30" spans="3:6" ht="27" customHeight="1" thickTop="1" x14ac:dyDescent="0.3">
      <c r="C30" s="563" t="s">
        <v>76</v>
      </c>
      <c r="D30" s="564"/>
      <c r="E30" s="571" t="s">
        <v>77</v>
      </c>
      <c r="F30" s="572"/>
    </row>
    <row r="31" spans="3:6" ht="15" thickBot="1" x14ac:dyDescent="0.35">
      <c r="C31" s="565"/>
      <c r="D31" s="566"/>
      <c r="E31" s="573"/>
      <c r="F31" s="574"/>
    </row>
    <row r="32" spans="3:6" ht="16.8" customHeight="1" thickTop="1" x14ac:dyDescent="0.3">
      <c r="C32" s="567" t="s">
        <v>78</v>
      </c>
      <c r="D32" s="568"/>
      <c r="E32" s="571" t="s">
        <v>255</v>
      </c>
      <c r="F32" s="572"/>
    </row>
    <row r="33" spans="3:6" ht="15" thickBot="1" x14ac:dyDescent="0.35">
      <c r="C33" s="569"/>
      <c r="D33" s="570"/>
      <c r="E33" s="573"/>
      <c r="F33" s="574"/>
    </row>
    <row r="34" spans="3:6" ht="15" thickTop="1" x14ac:dyDescent="0.3"/>
  </sheetData>
  <mergeCells count="17">
    <mergeCell ref="F24:F25"/>
    <mergeCell ref="E24:E25"/>
    <mergeCell ref="C24:D25"/>
    <mergeCell ref="B3:B7"/>
    <mergeCell ref="B11:B15"/>
    <mergeCell ref="C17:D18"/>
    <mergeCell ref="E17:E18"/>
    <mergeCell ref="C20:D21"/>
    <mergeCell ref="C22:D23"/>
    <mergeCell ref="E22:E23"/>
    <mergeCell ref="F22:F23"/>
    <mergeCell ref="E20:F21"/>
    <mergeCell ref="C27:F28"/>
    <mergeCell ref="C30:D31"/>
    <mergeCell ref="C32:D33"/>
    <mergeCell ref="E32:F33"/>
    <mergeCell ref="E30:F3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E8FD-91E3-4138-B0F6-0543ADC186DB}">
  <sheetPr>
    <pageSetUpPr fitToPage="1"/>
  </sheetPr>
  <dimension ref="A1:J134"/>
  <sheetViews>
    <sheetView topLeftCell="B1" zoomScale="66" workbookViewId="0">
      <selection activeCell="G19" sqref="G19"/>
    </sheetView>
  </sheetViews>
  <sheetFormatPr defaultRowHeight="14.4" x14ac:dyDescent="0.3"/>
  <cols>
    <col min="1" max="1" width="21.44140625" style="59" bestFit="1" customWidth="1"/>
    <col min="2" max="2" width="74.6640625" style="59" bestFit="1" customWidth="1"/>
    <col min="3" max="3" width="33.44140625" style="59" customWidth="1"/>
    <col min="4" max="4" width="25.88671875" style="59" customWidth="1"/>
    <col min="5" max="5" width="26" style="59" bestFit="1" customWidth="1"/>
    <col min="6" max="6" width="15" style="59" customWidth="1"/>
    <col min="7" max="7" width="29.88671875" style="59" bestFit="1" customWidth="1"/>
    <col min="8" max="8" width="72" style="59" bestFit="1" customWidth="1"/>
    <col min="9" max="9" width="8.88671875" style="59"/>
    <col min="10" max="10" width="39.109375" style="59" bestFit="1" customWidth="1"/>
    <col min="11" max="16384" width="8.88671875" style="59"/>
  </cols>
  <sheetData>
    <row r="1" spans="1:10" ht="45.6" customHeight="1" thickBot="1" x14ac:dyDescent="0.35">
      <c r="A1" s="60" t="s">
        <v>81</v>
      </c>
      <c r="C1" s="75"/>
      <c r="D1" s="75"/>
      <c r="E1" s="75"/>
      <c r="F1" s="75"/>
      <c r="G1" s="75"/>
      <c r="I1" s="85"/>
    </row>
    <row r="2" spans="1:10" ht="22.2" customHeight="1" thickTop="1" thickBot="1" x14ac:dyDescent="0.35">
      <c r="A2" s="61"/>
      <c r="B2" s="87"/>
      <c r="C2" s="88"/>
      <c r="D2" s="88"/>
      <c r="E2" s="88"/>
      <c r="F2" s="88"/>
      <c r="G2" s="89"/>
      <c r="H2" s="93"/>
    </row>
    <row r="3" spans="1:10" s="84" customFormat="1" ht="61.2" customHeight="1" thickTop="1" thickBot="1" x14ac:dyDescent="0.35">
      <c r="B3" s="298" t="s">
        <v>102</v>
      </c>
      <c r="C3" s="119" t="s">
        <v>2</v>
      </c>
      <c r="D3" s="120" t="s">
        <v>79</v>
      </c>
      <c r="E3" s="121" t="s">
        <v>98</v>
      </c>
      <c r="F3" s="122" t="s">
        <v>80</v>
      </c>
      <c r="G3" s="119" t="s">
        <v>94</v>
      </c>
      <c r="H3" s="123"/>
    </row>
    <row r="4" spans="1:10" ht="37.799999999999997" customHeight="1" thickTop="1" thickBot="1" x14ac:dyDescent="0.35">
      <c r="B4" s="124" t="s">
        <v>83</v>
      </c>
      <c r="C4" s="125" t="s">
        <v>8</v>
      </c>
      <c r="D4" s="126">
        <v>32</v>
      </c>
      <c r="E4" s="126">
        <v>20</v>
      </c>
      <c r="F4" s="126">
        <f>D22</f>
        <v>2.4</v>
      </c>
      <c r="G4" s="127">
        <f t="shared" ref="G4:G11" si="0">F4/7</f>
        <v>0.34285714285714286</v>
      </c>
      <c r="H4" s="128"/>
    </row>
    <row r="5" spans="1:10" ht="47.4" customHeight="1" thickTop="1" thickBot="1" x14ac:dyDescent="0.35">
      <c r="B5" s="129" t="s">
        <v>84</v>
      </c>
      <c r="C5" s="130" t="s">
        <v>8</v>
      </c>
      <c r="D5" s="131">
        <v>87.5</v>
      </c>
      <c r="E5" s="132">
        <v>20</v>
      </c>
      <c r="F5" s="126">
        <f>D30</f>
        <v>15</v>
      </c>
      <c r="G5" s="127">
        <f t="shared" si="0"/>
        <v>2.1428571428571428</v>
      </c>
      <c r="H5" s="133" t="s">
        <v>144</v>
      </c>
      <c r="I5" s="86"/>
      <c r="J5" s="86"/>
    </row>
    <row r="6" spans="1:10" ht="61.8" customHeight="1" thickTop="1" thickBot="1" x14ac:dyDescent="0.35">
      <c r="B6" s="134" t="s">
        <v>93</v>
      </c>
      <c r="C6" s="126" t="s">
        <v>8</v>
      </c>
      <c r="D6" s="135">
        <v>8</v>
      </c>
      <c r="E6" s="125">
        <v>20</v>
      </c>
      <c r="F6" s="126">
        <f>D35</f>
        <v>9</v>
      </c>
      <c r="G6" s="127">
        <f t="shared" si="0"/>
        <v>1.2857142857142858</v>
      </c>
      <c r="H6" s="136"/>
    </row>
    <row r="7" spans="1:10" ht="21" customHeight="1" thickTop="1" thickBot="1" x14ac:dyDescent="0.35">
      <c r="B7" s="132" t="s">
        <v>82</v>
      </c>
      <c r="C7" s="130" t="s">
        <v>8</v>
      </c>
      <c r="D7" s="131">
        <f>SUM(D4:D6)</f>
        <v>127.5</v>
      </c>
      <c r="E7" s="132">
        <v>20</v>
      </c>
      <c r="F7" s="126">
        <f t="shared" ref="F7:F11" si="1">D7/E7</f>
        <v>6.375</v>
      </c>
      <c r="G7" s="127">
        <f t="shared" si="0"/>
        <v>0.9107142857142857</v>
      </c>
      <c r="H7" s="136"/>
    </row>
    <row r="8" spans="1:10" ht="21" customHeight="1" thickTop="1" thickBot="1" x14ac:dyDescent="0.35">
      <c r="B8" s="125" t="s">
        <v>16</v>
      </c>
      <c r="C8" s="126" t="s">
        <v>12</v>
      </c>
      <c r="D8" s="135">
        <v>8426</v>
      </c>
      <c r="E8" s="125">
        <v>50</v>
      </c>
      <c r="F8" s="126">
        <f t="shared" si="1"/>
        <v>168.52</v>
      </c>
      <c r="G8" s="127">
        <f t="shared" si="0"/>
        <v>24.074285714285715</v>
      </c>
      <c r="H8" s="137"/>
    </row>
    <row r="9" spans="1:10" ht="50.4" customHeight="1" thickTop="1" thickBot="1" x14ac:dyDescent="0.35">
      <c r="B9" s="126" t="s">
        <v>99</v>
      </c>
      <c r="C9" s="138" t="s">
        <v>8</v>
      </c>
      <c r="D9" s="139">
        <f>8426/66</f>
        <v>127.66666666666667</v>
      </c>
      <c r="E9" s="140">
        <v>20</v>
      </c>
      <c r="F9" s="126">
        <f t="shared" si="1"/>
        <v>6.3833333333333337</v>
      </c>
      <c r="G9" s="127">
        <f t="shared" si="0"/>
        <v>0.911904761904762</v>
      </c>
      <c r="H9" s="141" t="s">
        <v>145</v>
      </c>
    </row>
    <row r="10" spans="1:10" ht="21" customHeight="1" thickTop="1" thickBot="1" x14ac:dyDescent="0.35">
      <c r="B10" s="140" t="s">
        <v>103</v>
      </c>
      <c r="C10" s="138" t="s">
        <v>8</v>
      </c>
      <c r="D10" s="139">
        <f>2900/66</f>
        <v>43.939393939393938</v>
      </c>
      <c r="E10" s="140">
        <v>20</v>
      </c>
      <c r="F10" s="138">
        <f t="shared" si="1"/>
        <v>2.1969696969696968</v>
      </c>
      <c r="G10" s="142">
        <f t="shared" si="0"/>
        <v>0.31385281385281383</v>
      </c>
      <c r="H10" s="141" t="s">
        <v>146</v>
      </c>
    </row>
    <row r="11" spans="1:10" ht="21" customHeight="1" thickTop="1" thickBot="1" x14ac:dyDescent="0.35">
      <c r="B11" s="140" t="s">
        <v>104</v>
      </c>
      <c r="C11" s="138" t="s">
        <v>12</v>
      </c>
      <c r="D11" s="143">
        <v>5550</v>
      </c>
      <c r="E11" s="140">
        <v>60</v>
      </c>
      <c r="F11" s="138">
        <f t="shared" si="1"/>
        <v>92.5</v>
      </c>
      <c r="G11" s="142">
        <f t="shared" si="0"/>
        <v>13.214285714285714</v>
      </c>
      <c r="H11" s="137" t="s">
        <v>147</v>
      </c>
    </row>
    <row r="12" spans="1:10" ht="21" customHeight="1" thickTop="1" thickBot="1" x14ac:dyDescent="0.35">
      <c r="B12" s="144"/>
      <c r="C12" s="144"/>
      <c r="D12" s="144"/>
      <c r="E12" s="144"/>
      <c r="F12" s="125" t="s">
        <v>66</v>
      </c>
      <c r="G12" s="145">
        <f>SUM(G4:G11)</f>
        <v>43.196471861471863</v>
      </c>
      <c r="H12" s="126"/>
    </row>
    <row r="13" spans="1:10" ht="21" customHeight="1" thickTop="1" thickBot="1" x14ac:dyDescent="0.35">
      <c r="A13" s="75"/>
      <c r="B13" s="75"/>
      <c r="C13" s="75"/>
      <c r="D13" s="75"/>
      <c r="E13" s="75"/>
      <c r="F13" s="2"/>
      <c r="G13" s="2"/>
      <c r="H13" s="2"/>
      <c r="I13" s="75"/>
      <c r="J13" s="75"/>
    </row>
    <row r="14" spans="1:10" ht="16.8" thickTop="1" thickBot="1" x14ac:dyDescent="0.35">
      <c r="A14" s="75"/>
      <c r="B14" s="87"/>
      <c r="C14" s="88"/>
      <c r="D14" s="89"/>
      <c r="E14" s="75"/>
      <c r="F14" s="75"/>
      <c r="G14" s="75"/>
      <c r="H14" s="75"/>
      <c r="I14" s="75"/>
      <c r="J14" s="75"/>
    </row>
    <row r="15" spans="1:10" ht="43.8" customHeight="1" thickTop="1" thickBot="1" x14ac:dyDescent="0.35">
      <c r="A15" s="75"/>
      <c r="B15" s="76" t="s">
        <v>89</v>
      </c>
      <c r="C15" s="90"/>
      <c r="D15" s="91"/>
      <c r="E15" s="75"/>
      <c r="F15" s="613" t="s">
        <v>306</v>
      </c>
      <c r="G15" s="614"/>
      <c r="H15" s="363">
        <f>43*250*200</f>
        <v>2150000</v>
      </c>
      <c r="I15" s="75"/>
      <c r="J15" s="75"/>
    </row>
    <row r="16" spans="1:10" ht="14.4" customHeight="1" thickTop="1" thickBot="1" x14ac:dyDescent="0.35">
      <c r="A16" s="75"/>
      <c r="B16" s="62"/>
      <c r="C16" s="66"/>
      <c r="D16" s="66"/>
      <c r="E16" s="75"/>
      <c r="F16" s="75"/>
      <c r="G16" s="75"/>
      <c r="H16" s="75"/>
      <c r="I16" s="75"/>
      <c r="J16" s="75"/>
    </row>
    <row r="17" spans="1:10" ht="30" customHeight="1" thickTop="1" thickBot="1" x14ac:dyDescent="0.35">
      <c r="A17" s="75"/>
      <c r="B17" s="79" t="s">
        <v>86</v>
      </c>
      <c r="C17" s="66" t="s">
        <v>135</v>
      </c>
      <c r="D17" s="66">
        <v>1.2</v>
      </c>
      <c r="E17" s="77"/>
      <c r="F17" s="77"/>
      <c r="G17" s="77"/>
      <c r="H17" s="75"/>
      <c r="I17" s="75"/>
      <c r="J17" s="75"/>
    </row>
    <row r="18" spans="1:10" ht="16.8" thickTop="1" thickBot="1" x14ac:dyDescent="0.35">
      <c r="A18" s="75"/>
      <c r="B18" s="63"/>
      <c r="C18" s="63" t="s">
        <v>87</v>
      </c>
      <c r="D18" s="63">
        <v>32</v>
      </c>
      <c r="E18" s="77"/>
      <c r="F18" s="368" t="s">
        <v>310</v>
      </c>
      <c r="G18" s="368" t="s">
        <v>311</v>
      </c>
      <c r="H18" s="75"/>
      <c r="I18" s="75"/>
      <c r="J18" s="75"/>
    </row>
    <row r="19" spans="1:10" ht="16.8" thickTop="1" thickBot="1" x14ac:dyDescent="0.35">
      <c r="A19" s="75"/>
      <c r="B19" s="66"/>
      <c r="C19" s="66" t="s">
        <v>134</v>
      </c>
      <c r="D19" s="66">
        <v>1</v>
      </c>
      <c r="E19" s="77"/>
      <c r="F19" s="77"/>
      <c r="G19" s="371">
        <f>H15*G4</f>
        <v>737142.85714285716</v>
      </c>
      <c r="H19" s="75"/>
      <c r="I19" s="75"/>
      <c r="J19" s="75"/>
    </row>
    <row r="20" spans="1:10" ht="16.8" thickTop="1" thickBot="1" x14ac:dyDescent="0.35">
      <c r="A20" s="75"/>
      <c r="B20" s="69"/>
      <c r="C20" s="70" t="s">
        <v>88</v>
      </c>
      <c r="D20" s="111">
        <v>2</v>
      </c>
      <c r="E20" s="77"/>
      <c r="F20" s="77"/>
      <c r="G20" s="77"/>
      <c r="H20" s="75"/>
      <c r="I20" s="75"/>
      <c r="J20" s="75"/>
    </row>
    <row r="21" spans="1:10" ht="16.8" thickTop="1" thickBot="1" x14ac:dyDescent="0.35">
      <c r="A21" s="75"/>
      <c r="B21" s="114"/>
      <c r="C21" s="115" t="s">
        <v>136</v>
      </c>
      <c r="D21" s="116" t="s">
        <v>137</v>
      </c>
      <c r="E21" s="77"/>
      <c r="F21" s="77"/>
      <c r="G21" s="77"/>
      <c r="H21" s="75"/>
      <c r="I21" s="75"/>
      <c r="J21" s="75"/>
    </row>
    <row r="22" spans="1:10" ht="35.4" customHeight="1" thickTop="1" x14ac:dyDescent="0.3">
      <c r="A22" s="75"/>
      <c r="B22" s="608" t="s">
        <v>133</v>
      </c>
      <c r="C22" s="616" t="s">
        <v>138</v>
      </c>
      <c r="D22" s="619">
        <f>D17*D19*D20</f>
        <v>2.4</v>
      </c>
      <c r="E22" s="78"/>
      <c r="F22" s="77"/>
      <c r="G22" s="77"/>
      <c r="H22" s="75"/>
      <c r="I22" s="75"/>
      <c r="J22" s="75"/>
    </row>
    <row r="23" spans="1:10" ht="27" customHeight="1" x14ac:dyDescent="0.3">
      <c r="A23" s="75"/>
      <c r="B23" s="615"/>
      <c r="C23" s="617"/>
      <c r="D23" s="620"/>
      <c r="E23" s="78"/>
      <c r="F23" s="77"/>
      <c r="G23" s="77"/>
      <c r="H23" s="75"/>
      <c r="I23" s="75"/>
      <c r="J23" s="75"/>
    </row>
    <row r="24" spans="1:10" ht="12.6" customHeight="1" thickBot="1" x14ac:dyDescent="0.35">
      <c r="A24" s="75"/>
      <c r="B24" s="609"/>
      <c r="C24" s="618"/>
      <c r="D24" s="621"/>
      <c r="E24" s="78"/>
      <c r="F24" s="77"/>
      <c r="G24" s="77"/>
      <c r="H24" s="75"/>
      <c r="I24" s="75"/>
      <c r="J24" s="75"/>
    </row>
    <row r="25" spans="1:10" ht="25.8" customHeight="1" thickTop="1" thickBot="1" x14ac:dyDescent="0.35">
      <c r="A25" s="75"/>
      <c r="B25" s="80" t="s">
        <v>85</v>
      </c>
      <c r="C25" s="63" t="s">
        <v>140</v>
      </c>
      <c r="D25" s="112">
        <v>5</v>
      </c>
      <c r="E25" s="77"/>
      <c r="F25" s="77"/>
      <c r="G25" s="77"/>
      <c r="H25" s="75"/>
      <c r="I25" s="75"/>
      <c r="J25" s="75"/>
    </row>
    <row r="26" spans="1:10" ht="25.8" customHeight="1" thickTop="1" thickBot="1" x14ac:dyDescent="0.35">
      <c r="A26" s="75"/>
      <c r="B26" s="63"/>
      <c r="C26" s="63" t="s">
        <v>90</v>
      </c>
      <c r="D26" s="66">
        <v>87.5</v>
      </c>
      <c r="E26" s="77"/>
      <c r="F26" s="75"/>
      <c r="G26" s="75"/>
      <c r="H26" s="75"/>
      <c r="I26" s="75"/>
      <c r="J26" s="75"/>
    </row>
    <row r="27" spans="1:10" ht="16.8" thickTop="1" thickBot="1" x14ac:dyDescent="0.35">
      <c r="A27" s="75"/>
      <c r="B27" s="66"/>
      <c r="C27" s="66" t="s">
        <v>141</v>
      </c>
      <c r="D27" s="70">
        <v>1.5</v>
      </c>
      <c r="E27" s="77"/>
      <c r="F27" s="75"/>
      <c r="G27" s="75"/>
      <c r="H27" s="75"/>
      <c r="I27" s="75"/>
      <c r="J27" s="75"/>
    </row>
    <row r="28" spans="1:10" ht="40.200000000000003" customHeight="1" thickTop="1" thickBot="1" x14ac:dyDescent="0.35">
      <c r="A28" s="75"/>
      <c r="B28" s="66"/>
      <c r="C28" s="83" t="s">
        <v>91</v>
      </c>
      <c r="D28" s="71">
        <v>2</v>
      </c>
      <c r="E28" s="77"/>
      <c r="F28" s="75"/>
      <c r="G28" s="75"/>
      <c r="H28" s="75"/>
      <c r="I28" s="75"/>
      <c r="J28" s="75"/>
    </row>
    <row r="29" spans="1:10" ht="21.6" customHeight="1" thickTop="1" thickBot="1" x14ac:dyDescent="0.35">
      <c r="A29" s="75"/>
      <c r="B29" s="62"/>
      <c r="C29" s="115" t="s">
        <v>136</v>
      </c>
      <c r="D29" s="116" t="s">
        <v>137</v>
      </c>
      <c r="E29" s="77"/>
      <c r="F29" s="75"/>
      <c r="G29" s="75"/>
      <c r="H29" s="75"/>
      <c r="I29" s="75"/>
      <c r="J29" s="75"/>
    </row>
    <row r="30" spans="1:10" ht="40.200000000000003" customHeight="1" thickTop="1" thickBot="1" x14ac:dyDescent="0.35">
      <c r="A30" s="75"/>
      <c r="B30" s="62" t="s">
        <v>133</v>
      </c>
      <c r="C30" s="117" t="s">
        <v>139</v>
      </c>
      <c r="D30" s="112">
        <f>D25*D27*D28</f>
        <v>15</v>
      </c>
      <c r="E30" s="77"/>
      <c r="F30" s="75"/>
      <c r="G30" s="75"/>
      <c r="H30" s="75"/>
      <c r="I30" s="75"/>
      <c r="J30" s="75"/>
    </row>
    <row r="31" spans="1:10" ht="16.8" thickTop="1" thickBot="1" x14ac:dyDescent="0.35">
      <c r="A31" s="75"/>
      <c r="B31" s="80" t="s">
        <v>92</v>
      </c>
      <c r="C31" s="111" t="s">
        <v>140</v>
      </c>
      <c r="D31" s="64">
        <v>3</v>
      </c>
      <c r="E31" s="77"/>
      <c r="F31" s="75"/>
      <c r="G31" s="75"/>
      <c r="H31" s="75"/>
      <c r="I31" s="75"/>
      <c r="J31" s="75"/>
    </row>
    <row r="32" spans="1:10" ht="16.8" thickTop="1" thickBot="1" x14ac:dyDescent="0.35">
      <c r="A32" s="75"/>
      <c r="B32" s="63"/>
      <c r="C32" s="63" t="s">
        <v>142</v>
      </c>
      <c r="D32" s="66">
        <v>500</v>
      </c>
      <c r="E32" s="75"/>
      <c r="F32" s="75"/>
      <c r="G32" s="75"/>
      <c r="H32" s="75"/>
      <c r="I32" s="75"/>
      <c r="J32" s="75"/>
    </row>
    <row r="33" spans="1:10" ht="16.8" thickTop="1" thickBot="1" x14ac:dyDescent="0.35">
      <c r="A33" s="75"/>
      <c r="B33" s="66"/>
      <c r="C33" s="66" t="s">
        <v>141</v>
      </c>
      <c r="D33" s="70">
        <v>1.5</v>
      </c>
      <c r="E33" s="75"/>
      <c r="F33" s="75"/>
      <c r="G33" s="75"/>
      <c r="H33" s="75"/>
      <c r="I33" s="75"/>
      <c r="J33" s="75"/>
    </row>
    <row r="34" spans="1:10" ht="32.4" thickTop="1" thickBot="1" x14ac:dyDescent="0.35">
      <c r="A34" s="75"/>
      <c r="B34" s="63"/>
      <c r="C34" s="113" t="s">
        <v>91</v>
      </c>
      <c r="D34" s="112">
        <v>2</v>
      </c>
      <c r="E34" s="75"/>
      <c r="F34" s="75"/>
      <c r="G34" s="75"/>
      <c r="H34" s="75"/>
      <c r="I34" s="75"/>
      <c r="J34" s="75"/>
    </row>
    <row r="35" spans="1:10" ht="16.2" thickTop="1" x14ac:dyDescent="0.3">
      <c r="A35" s="75"/>
      <c r="B35" s="622" t="s">
        <v>133</v>
      </c>
      <c r="C35" s="619" t="s">
        <v>143</v>
      </c>
      <c r="D35" s="624">
        <f>D31*D33*D34</f>
        <v>9</v>
      </c>
      <c r="E35" s="75"/>
      <c r="F35" s="75"/>
      <c r="G35" s="75"/>
      <c r="H35" s="75"/>
      <c r="I35" s="75"/>
      <c r="J35" s="75"/>
    </row>
    <row r="36" spans="1:10" ht="16.2" thickBot="1" x14ac:dyDescent="0.35">
      <c r="A36" s="75"/>
      <c r="B36" s="623"/>
      <c r="C36" s="621"/>
      <c r="D36" s="625"/>
      <c r="E36" s="75"/>
      <c r="F36" s="75"/>
      <c r="G36" s="75"/>
      <c r="H36" s="75"/>
      <c r="I36" s="75"/>
      <c r="J36" s="75"/>
    </row>
    <row r="37" spans="1:10" ht="16.2" thickTop="1" x14ac:dyDescent="0.3">
      <c r="A37" s="75"/>
      <c r="B37" s="77"/>
      <c r="C37" s="78"/>
      <c r="D37" s="77"/>
      <c r="E37" s="75"/>
      <c r="F37" s="75"/>
      <c r="G37" s="75"/>
      <c r="H37" s="75"/>
      <c r="I37" s="75"/>
      <c r="J37" s="75"/>
    </row>
    <row r="38" spans="1:10" ht="15.6" x14ac:dyDescent="0.3">
      <c r="A38" s="75"/>
      <c r="B38" s="75"/>
      <c r="C38" s="75"/>
      <c r="D38" s="75"/>
      <c r="E38" s="75"/>
      <c r="F38" s="75"/>
      <c r="G38" s="75"/>
      <c r="H38" s="75"/>
      <c r="I38" s="75"/>
      <c r="J38" s="75"/>
    </row>
    <row r="39" spans="1:10" ht="15.6" x14ac:dyDescent="0.3">
      <c r="A39" s="75"/>
      <c r="B39" s="92"/>
      <c r="C39" s="92"/>
      <c r="D39" s="92"/>
      <c r="E39" s="75"/>
      <c r="F39" s="75"/>
      <c r="G39" s="75"/>
      <c r="H39" s="75"/>
      <c r="I39" s="75"/>
      <c r="J39" s="75"/>
    </row>
    <row r="40" spans="1:10" ht="43.8" customHeight="1" thickBot="1" x14ac:dyDescent="0.35">
      <c r="A40" s="75"/>
      <c r="B40" s="612" t="s">
        <v>16</v>
      </c>
      <c r="C40" s="612"/>
      <c r="D40" s="612"/>
      <c r="E40" s="75"/>
      <c r="F40" s="75"/>
      <c r="G40" s="75"/>
      <c r="H40" s="75"/>
      <c r="I40" s="75"/>
      <c r="J40" s="75"/>
    </row>
    <row r="41" spans="1:10" ht="37.200000000000003" customHeight="1" thickTop="1" thickBot="1" x14ac:dyDescent="0.35">
      <c r="A41" s="75"/>
      <c r="B41" s="72" t="s">
        <v>96</v>
      </c>
      <c r="C41" s="66">
        <v>4026</v>
      </c>
      <c r="D41" s="68"/>
      <c r="F41" s="75"/>
      <c r="G41" s="75"/>
      <c r="H41" s="75"/>
      <c r="I41" s="75"/>
      <c r="J41" s="75"/>
    </row>
    <row r="42" spans="1:10" ht="16.2" thickTop="1" x14ac:dyDescent="0.3">
      <c r="A42" s="75"/>
      <c r="B42" s="606" t="s">
        <v>95</v>
      </c>
      <c r="C42" s="608">
        <v>4400</v>
      </c>
      <c r="D42" s="610"/>
      <c r="E42" s="75"/>
      <c r="F42" s="75"/>
      <c r="G42" s="75"/>
      <c r="H42" s="75"/>
      <c r="I42" s="75"/>
      <c r="J42" s="75"/>
    </row>
    <row r="43" spans="1:10" ht="16.2" thickBot="1" x14ac:dyDescent="0.35">
      <c r="A43" s="75"/>
      <c r="B43" s="607"/>
      <c r="C43" s="609"/>
      <c r="D43" s="611"/>
      <c r="E43" s="75"/>
      <c r="F43" s="75"/>
      <c r="G43" s="75"/>
      <c r="H43" s="75"/>
      <c r="I43" s="75"/>
      <c r="J43" s="75"/>
    </row>
    <row r="44" spans="1:10" ht="34.200000000000003" customHeight="1" thickTop="1" thickBot="1" x14ac:dyDescent="0.35">
      <c r="A44" s="75"/>
      <c r="B44" s="69" t="s">
        <v>97</v>
      </c>
      <c r="C44" s="66">
        <f>SUM(C41:C43)</f>
        <v>8426</v>
      </c>
      <c r="D44" s="71"/>
      <c r="E44" s="75"/>
      <c r="F44" s="75"/>
      <c r="G44" s="75"/>
      <c r="H44" s="75"/>
      <c r="I44" s="75"/>
      <c r="J44" s="75"/>
    </row>
    <row r="45" spans="1:10" ht="16.2" thickTop="1" x14ac:dyDescent="0.3">
      <c r="A45" s="75"/>
      <c r="B45" s="77"/>
      <c r="C45" s="77"/>
      <c r="D45" s="77"/>
      <c r="E45" s="75"/>
      <c r="F45" s="75"/>
      <c r="G45" s="75"/>
      <c r="H45" s="75"/>
      <c r="I45" s="75"/>
      <c r="J45" s="75"/>
    </row>
    <row r="46" spans="1:10" ht="15.6" x14ac:dyDescent="0.3">
      <c r="A46" s="75"/>
      <c r="B46" s="77"/>
      <c r="C46" s="77"/>
      <c r="D46" s="77"/>
      <c r="E46" s="75"/>
      <c r="F46" s="75"/>
      <c r="G46" s="75"/>
      <c r="H46" s="75"/>
      <c r="I46" s="75"/>
      <c r="J46" s="75"/>
    </row>
    <row r="47" spans="1:10" ht="15.6" x14ac:dyDescent="0.3">
      <c r="A47" s="75"/>
      <c r="B47" s="92"/>
      <c r="C47" s="92"/>
      <c r="D47" s="92"/>
      <c r="E47" s="75"/>
      <c r="F47" s="75"/>
      <c r="G47" s="75"/>
      <c r="H47" s="75"/>
      <c r="I47" s="75"/>
      <c r="J47" s="75"/>
    </row>
    <row r="48" spans="1:10" ht="32.4" thickBot="1" x14ac:dyDescent="0.35">
      <c r="A48" s="75"/>
      <c r="B48" s="612" t="s">
        <v>28</v>
      </c>
      <c r="C48" s="612"/>
      <c r="D48" s="612"/>
      <c r="E48" s="75"/>
      <c r="F48" s="75"/>
      <c r="G48" s="75"/>
      <c r="H48" s="75"/>
      <c r="I48" s="75"/>
      <c r="J48" s="75"/>
    </row>
    <row r="49" spans="1:10" ht="16.8" thickTop="1" thickBot="1" x14ac:dyDescent="0.35">
      <c r="A49" s="75"/>
      <c r="B49" s="62"/>
      <c r="C49" s="63" t="s">
        <v>2</v>
      </c>
      <c r="D49" s="64" t="s">
        <v>66</v>
      </c>
      <c r="E49" s="75"/>
      <c r="F49" s="75"/>
      <c r="G49" s="75"/>
      <c r="H49" s="75"/>
      <c r="I49" s="75"/>
      <c r="J49" s="75"/>
    </row>
    <row r="50" spans="1:10" ht="16.8" thickTop="1" thickBot="1" x14ac:dyDescent="0.35">
      <c r="A50" s="75"/>
      <c r="B50" s="65" t="s">
        <v>100</v>
      </c>
      <c r="C50" s="66" t="s">
        <v>8</v>
      </c>
      <c r="D50" s="68">
        <f>2900/66</f>
        <v>43.939393939393938</v>
      </c>
      <c r="G50" s="75"/>
      <c r="H50" s="75"/>
      <c r="I50" s="75"/>
      <c r="J50" s="75"/>
    </row>
    <row r="51" spans="1:10" ht="16.8" thickTop="1" thickBot="1" x14ac:dyDescent="0.35">
      <c r="A51" s="75"/>
      <c r="B51" s="69" t="s">
        <v>101</v>
      </c>
      <c r="C51" s="70" t="s">
        <v>12</v>
      </c>
      <c r="D51" s="71">
        <v>5550</v>
      </c>
      <c r="G51" s="75"/>
      <c r="H51" s="75"/>
      <c r="I51" s="75"/>
      <c r="J51" s="75"/>
    </row>
    <row r="52" spans="1:10" ht="16.2" thickTop="1" x14ac:dyDescent="0.3">
      <c r="A52" s="75"/>
      <c r="B52" s="77"/>
      <c r="C52" s="77"/>
      <c r="D52" s="77"/>
      <c r="E52" s="75"/>
      <c r="F52" s="75"/>
      <c r="G52" s="75"/>
      <c r="H52" s="75"/>
      <c r="I52" s="75"/>
      <c r="J52" s="75"/>
    </row>
    <row r="53" spans="1:10" ht="15.6" x14ac:dyDescent="0.3">
      <c r="A53" s="75"/>
      <c r="B53" s="77"/>
      <c r="C53" s="77"/>
      <c r="D53" s="77"/>
      <c r="E53" s="75"/>
      <c r="F53" s="75"/>
      <c r="G53" s="75"/>
      <c r="H53" s="75"/>
      <c r="I53" s="75"/>
      <c r="J53" s="75"/>
    </row>
    <row r="54" spans="1:10" ht="15.6" x14ac:dyDescent="0.3">
      <c r="A54" s="75"/>
      <c r="B54" s="75"/>
      <c r="C54" s="75"/>
      <c r="D54" s="75"/>
      <c r="E54" s="75"/>
      <c r="F54" s="75"/>
      <c r="G54" s="75"/>
      <c r="H54" s="75"/>
      <c r="I54" s="75"/>
      <c r="J54" s="75"/>
    </row>
    <row r="55" spans="1:10" ht="15.6" x14ac:dyDescent="0.3">
      <c r="A55" s="75"/>
      <c r="B55" s="75"/>
      <c r="C55" s="75"/>
      <c r="D55" s="75"/>
      <c r="E55" s="75"/>
      <c r="F55" s="75"/>
      <c r="G55" s="75"/>
      <c r="H55" s="75"/>
      <c r="I55" s="75"/>
      <c r="J55" s="75"/>
    </row>
    <row r="56" spans="1:10" ht="15.6" x14ac:dyDescent="0.3">
      <c r="A56" s="75"/>
      <c r="B56" s="75"/>
      <c r="C56" s="75"/>
      <c r="D56" s="75"/>
      <c r="E56" s="75"/>
      <c r="F56" s="75"/>
      <c r="G56" s="75"/>
      <c r="H56" s="75"/>
      <c r="I56" s="75"/>
      <c r="J56" s="75"/>
    </row>
    <row r="57" spans="1:10" ht="15.6" x14ac:dyDescent="0.3">
      <c r="A57" s="75"/>
      <c r="B57" s="75"/>
      <c r="C57" s="75"/>
      <c r="D57" s="75"/>
      <c r="E57" s="75"/>
      <c r="F57" s="75"/>
      <c r="G57" s="75"/>
      <c r="H57" s="75"/>
      <c r="I57" s="75"/>
      <c r="J57" s="75"/>
    </row>
    <row r="58" spans="1:10" ht="15.6" x14ac:dyDescent="0.3">
      <c r="A58" s="75"/>
      <c r="B58" s="75"/>
      <c r="C58" s="75"/>
      <c r="D58" s="75"/>
      <c r="E58" s="75"/>
      <c r="F58" s="75"/>
      <c r="G58" s="75"/>
      <c r="H58" s="75"/>
      <c r="I58" s="75"/>
      <c r="J58" s="75"/>
    </row>
    <row r="59" spans="1:10" ht="15.6" x14ac:dyDescent="0.3">
      <c r="A59" s="75"/>
      <c r="B59" s="75"/>
      <c r="C59" s="75"/>
      <c r="D59" s="75"/>
      <c r="E59" s="75"/>
      <c r="F59" s="75"/>
      <c r="G59" s="75"/>
      <c r="H59" s="75"/>
      <c r="I59" s="75"/>
      <c r="J59" s="75"/>
    </row>
    <row r="60" spans="1:10" ht="15.6" x14ac:dyDescent="0.3">
      <c r="A60" s="75"/>
      <c r="B60" s="75"/>
      <c r="C60" s="75"/>
      <c r="D60" s="75"/>
      <c r="E60" s="75"/>
      <c r="F60" s="75"/>
      <c r="G60" s="75"/>
      <c r="H60" s="75"/>
      <c r="I60" s="75"/>
      <c r="J60" s="75"/>
    </row>
    <row r="61" spans="1:10" ht="15.6" x14ac:dyDescent="0.3">
      <c r="A61" s="75"/>
      <c r="B61" s="75"/>
      <c r="C61" s="75"/>
      <c r="D61" s="75"/>
      <c r="E61" s="75"/>
      <c r="F61" s="75"/>
      <c r="G61" s="75"/>
      <c r="H61" s="75"/>
      <c r="I61" s="75"/>
      <c r="J61" s="75"/>
    </row>
    <row r="62" spans="1:10" ht="15.6" x14ac:dyDescent="0.3">
      <c r="A62" s="75"/>
      <c r="B62" s="75"/>
      <c r="C62" s="75"/>
      <c r="D62" s="75"/>
      <c r="E62" s="75"/>
      <c r="F62" s="75"/>
      <c r="G62" s="75"/>
      <c r="H62" s="75"/>
      <c r="I62" s="75"/>
      <c r="J62" s="75"/>
    </row>
    <row r="63" spans="1:10" ht="15.6" x14ac:dyDescent="0.3">
      <c r="A63" s="75"/>
      <c r="B63" s="75"/>
      <c r="C63" s="75"/>
      <c r="D63" s="75"/>
      <c r="E63" s="75"/>
      <c r="F63" s="75"/>
      <c r="G63" s="75"/>
      <c r="H63" s="75"/>
      <c r="I63" s="75"/>
      <c r="J63" s="75"/>
    </row>
    <row r="64" spans="1:10" ht="15.6" x14ac:dyDescent="0.3">
      <c r="A64" s="75"/>
      <c r="B64" s="75"/>
      <c r="C64" s="75"/>
      <c r="D64" s="75"/>
      <c r="E64" s="75"/>
      <c r="F64" s="75"/>
      <c r="G64" s="75"/>
      <c r="H64" s="75"/>
      <c r="I64" s="75"/>
      <c r="J64" s="75"/>
    </row>
    <row r="65" spans="1:10" ht="15.6" x14ac:dyDescent="0.3">
      <c r="A65" s="75"/>
      <c r="B65" s="75"/>
      <c r="C65" s="75"/>
      <c r="D65" s="75"/>
      <c r="E65" s="75"/>
      <c r="F65" s="75"/>
      <c r="G65" s="75"/>
      <c r="H65" s="75"/>
      <c r="I65" s="75"/>
      <c r="J65" s="75"/>
    </row>
    <row r="66" spans="1:10" ht="15.6" x14ac:dyDescent="0.3">
      <c r="A66" s="75"/>
      <c r="B66" s="75"/>
      <c r="C66" s="75"/>
      <c r="D66" s="75"/>
      <c r="E66" s="75"/>
      <c r="F66" s="75"/>
      <c r="G66" s="75"/>
      <c r="H66" s="75"/>
      <c r="I66" s="75"/>
      <c r="J66" s="75"/>
    </row>
    <row r="67" spans="1:10" ht="15.6" x14ac:dyDescent="0.3">
      <c r="A67" s="75"/>
      <c r="B67" s="75"/>
      <c r="C67" s="75"/>
      <c r="D67" s="75"/>
      <c r="E67" s="75"/>
      <c r="F67" s="75"/>
      <c r="G67" s="75"/>
      <c r="H67" s="75"/>
      <c r="I67" s="75"/>
      <c r="J67" s="75"/>
    </row>
    <row r="68" spans="1:10" ht="15.6" x14ac:dyDescent="0.3">
      <c r="A68" s="75"/>
      <c r="B68" s="75"/>
      <c r="C68" s="75"/>
      <c r="D68" s="75"/>
      <c r="E68" s="75"/>
      <c r="F68" s="75"/>
      <c r="G68" s="75"/>
      <c r="H68" s="75"/>
      <c r="I68" s="75"/>
      <c r="J68" s="75"/>
    </row>
    <row r="69" spans="1:10" ht="15.6" x14ac:dyDescent="0.3">
      <c r="A69" s="75"/>
      <c r="B69" s="75"/>
      <c r="C69" s="75"/>
      <c r="D69" s="75"/>
      <c r="E69" s="75"/>
      <c r="F69" s="75"/>
      <c r="G69" s="75"/>
      <c r="H69" s="75"/>
      <c r="I69" s="75"/>
      <c r="J69" s="75"/>
    </row>
    <row r="70" spans="1:10" ht="15.6" x14ac:dyDescent="0.3">
      <c r="A70" s="75"/>
      <c r="B70" s="75"/>
      <c r="C70" s="75"/>
      <c r="D70" s="75"/>
      <c r="E70" s="75"/>
      <c r="F70" s="75"/>
      <c r="G70" s="75"/>
      <c r="H70" s="75"/>
      <c r="I70" s="75"/>
      <c r="J70" s="75"/>
    </row>
    <row r="71" spans="1:10" ht="15.6" x14ac:dyDescent="0.3">
      <c r="A71" s="75"/>
      <c r="B71" s="75"/>
      <c r="C71" s="75"/>
      <c r="D71" s="75"/>
      <c r="E71" s="75"/>
      <c r="F71" s="75"/>
      <c r="G71" s="75"/>
      <c r="H71" s="75"/>
      <c r="I71" s="75"/>
      <c r="J71" s="75"/>
    </row>
    <row r="72" spans="1:10" ht="15.6" x14ac:dyDescent="0.3">
      <c r="A72" s="75"/>
      <c r="B72" s="75"/>
      <c r="C72" s="75"/>
      <c r="D72" s="75"/>
      <c r="E72" s="75"/>
      <c r="F72" s="75"/>
      <c r="G72" s="75"/>
      <c r="H72" s="75"/>
      <c r="I72" s="75"/>
      <c r="J72" s="75"/>
    </row>
    <row r="73" spans="1:10" ht="15.6" x14ac:dyDescent="0.3">
      <c r="A73" s="75"/>
      <c r="B73" s="75"/>
      <c r="C73" s="75"/>
      <c r="D73" s="75"/>
      <c r="E73" s="75"/>
      <c r="F73" s="75"/>
      <c r="G73" s="75"/>
      <c r="H73" s="75"/>
      <c r="I73" s="75"/>
      <c r="J73" s="75"/>
    </row>
    <row r="74" spans="1:10" ht="15.6" x14ac:dyDescent="0.3">
      <c r="A74" s="75"/>
      <c r="B74" s="75"/>
      <c r="C74" s="75"/>
      <c r="D74" s="75"/>
      <c r="E74" s="75"/>
      <c r="F74" s="75"/>
      <c r="G74" s="75"/>
      <c r="H74" s="75"/>
      <c r="I74" s="75"/>
      <c r="J74" s="75"/>
    </row>
    <row r="75" spans="1:10" ht="15.6" x14ac:dyDescent="0.3">
      <c r="A75" s="75"/>
      <c r="B75" s="75"/>
      <c r="C75" s="75"/>
      <c r="D75" s="75"/>
      <c r="E75" s="75"/>
      <c r="F75" s="75"/>
      <c r="G75" s="75"/>
      <c r="H75" s="75"/>
      <c r="I75" s="75"/>
      <c r="J75" s="75"/>
    </row>
    <row r="76" spans="1:10" ht="15.6" x14ac:dyDescent="0.3">
      <c r="A76" s="75"/>
      <c r="B76" s="75"/>
      <c r="C76" s="75"/>
      <c r="D76" s="75"/>
      <c r="E76" s="75"/>
      <c r="F76" s="75"/>
      <c r="G76" s="75"/>
      <c r="H76" s="75"/>
      <c r="I76" s="75"/>
      <c r="J76" s="75"/>
    </row>
    <row r="77" spans="1:10" ht="15.6" x14ac:dyDescent="0.3">
      <c r="A77" s="75"/>
      <c r="B77" s="75"/>
      <c r="C77" s="75"/>
      <c r="D77" s="75"/>
      <c r="E77" s="75"/>
      <c r="F77" s="75"/>
      <c r="G77" s="75"/>
      <c r="H77" s="75"/>
      <c r="I77" s="75"/>
      <c r="J77" s="75"/>
    </row>
    <row r="78" spans="1:10" ht="15.6" x14ac:dyDescent="0.3">
      <c r="A78" s="75"/>
      <c r="B78" s="75"/>
      <c r="C78" s="75"/>
      <c r="D78" s="75"/>
      <c r="E78" s="75"/>
      <c r="F78" s="75"/>
      <c r="G78" s="75"/>
      <c r="H78" s="75"/>
      <c r="I78" s="75"/>
      <c r="J78" s="75"/>
    </row>
    <row r="79" spans="1:10" ht="15.6" x14ac:dyDescent="0.3">
      <c r="A79" s="75"/>
      <c r="B79" s="75"/>
      <c r="C79" s="75"/>
      <c r="D79" s="75"/>
      <c r="E79" s="75"/>
      <c r="F79" s="75"/>
      <c r="G79" s="75"/>
      <c r="H79" s="75"/>
      <c r="I79" s="75"/>
      <c r="J79" s="75"/>
    </row>
    <row r="80" spans="1:10" ht="15.6" x14ac:dyDescent="0.3">
      <c r="A80" s="75"/>
      <c r="B80" s="75"/>
      <c r="C80" s="75"/>
      <c r="D80" s="75"/>
      <c r="E80" s="75"/>
      <c r="F80" s="75"/>
      <c r="G80" s="75"/>
      <c r="H80" s="75"/>
      <c r="I80" s="75"/>
      <c r="J80" s="75"/>
    </row>
    <row r="81" spans="1:10" ht="15.6" x14ac:dyDescent="0.3">
      <c r="A81" s="75"/>
      <c r="B81" s="75"/>
      <c r="C81" s="75"/>
      <c r="D81" s="75"/>
      <c r="E81" s="75"/>
      <c r="F81" s="75"/>
      <c r="G81" s="75"/>
      <c r="H81" s="75"/>
      <c r="I81" s="75"/>
      <c r="J81" s="75"/>
    </row>
    <row r="82" spans="1:10" ht="15.6" x14ac:dyDescent="0.3">
      <c r="A82" s="75"/>
      <c r="B82" s="75"/>
      <c r="C82" s="75"/>
      <c r="D82" s="75"/>
      <c r="E82" s="75"/>
      <c r="F82" s="75"/>
      <c r="G82" s="75"/>
      <c r="H82" s="75"/>
      <c r="I82" s="75"/>
      <c r="J82" s="75"/>
    </row>
    <row r="83" spans="1:10" ht="15.6" x14ac:dyDescent="0.3">
      <c r="A83" s="75"/>
      <c r="B83" s="75"/>
      <c r="C83" s="75"/>
      <c r="D83" s="75"/>
      <c r="E83" s="75"/>
      <c r="F83" s="75"/>
      <c r="G83" s="75"/>
      <c r="H83" s="75"/>
      <c r="I83" s="75"/>
      <c r="J83" s="75"/>
    </row>
    <row r="84" spans="1:10" ht="15.6" x14ac:dyDescent="0.3">
      <c r="A84" s="75"/>
      <c r="B84" s="75"/>
      <c r="C84" s="75"/>
      <c r="D84" s="75"/>
      <c r="E84" s="75"/>
      <c r="F84" s="75"/>
      <c r="G84" s="75"/>
      <c r="H84" s="75"/>
      <c r="I84" s="75"/>
      <c r="J84" s="75"/>
    </row>
    <row r="85" spans="1:10" ht="15.6" x14ac:dyDescent="0.3">
      <c r="A85" s="75"/>
      <c r="B85" s="75"/>
      <c r="C85" s="75"/>
      <c r="D85" s="75"/>
      <c r="E85" s="75"/>
      <c r="F85" s="75"/>
      <c r="G85" s="75"/>
      <c r="H85" s="75"/>
      <c r="I85" s="75"/>
      <c r="J85" s="75"/>
    </row>
    <row r="86" spans="1:10" ht="15.6" x14ac:dyDescent="0.3">
      <c r="A86" s="75"/>
      <c r="B86" s="75"/>
      <c r="C86" s="75"/>
      <c r="D86" s="75"/>
      <c r="E86" s="75"/>
      <c r="F86" s="75"/>
      <c r="G86" s="75"/>
      <c r="H86" s="75"/>
      <c r="I86" s="75"/>
      <c r="J86" s="75"/>
    </row>
    <row r="87" spans="1:10" ht="15.6" x14ac:dyDescent="0.3">
      <c r="A87" s="75"/>
      <c r="B87" s="75"/>
      <c r="C87" s="75"/>
      <c r="D87" s="75"/>
      <c r="E87" s="75"/>
      <c r="F87" s="75"/>
      <c r="G87" s="75"/>
      <c r="H87" s="75"/>
      <c r="I87" s="75"/>
      <c r="J87" s="75"/>
    </row>
    <row r="88" spans="1:10" ht="15.6" x14ac:dyDescent="0.3">
      <c r="A88" s="75"/>
      <c r="B88" s="75"/>
      <c r="C88" s="75"/>
      <c r="D88" s="75"/>
      <c r="E88" s="75"/>
      <c r="F88" s="75"/>
      <c r="G88" s="75"/>
      <c r="H88" s="75"/>
      <c r="I88" s="75"/>
      <c r="J88" s="75"/>
    </row>
    <row r="89" spans="1:10" ht="15.6" x14ac:dyDescent="0.3">
      <c r="A89" s="75"/>
      <c r="B89" s="75"/>
      <c r="C89" s="75"/>
      <c r="D89" s="75"/>
      <c r="E89" s="75"/>
      <c r="F89" s="75"/>
      <c r="G89" s="75"/>
      <c r="H89" s="75"/>
      <c r="I89" s="75"/>
      <c r="J89" s="75"/>
    </row>
    <row r="90" spans="1:10" ht="15.6" x14ac:dyDescent="0.3">
      <c r="A90" s="75"/>
      <c r="B90" s="75"/>
      <c r="C90" s="75"/>
      <c r="D90" s="75"/>
      <c r="E90" s="75"/>
      <c r="F90" s="75"/>
      <c r="G90" s="75"/>
      <c r="H90" s="75"/>
      <c r="I90" s="75"/>
      <c r="J90" s="75"/>
    </row>
    <row r="91" spans="1:10" ht="15.6" x14ac:dyDescent="0.3">
      <c r="A91" s="75"/>
      <c r="B91" s="75"/>
      <c r="C91" s="75"/>
      <c r="D91" s="75"/>
      <c r="E91" s="75"/>
      <c r="F91" s="75"/>
      <c r="G91" s="75"/>
      <c r="H91" s="75"/>
      <c r="I91" s="75"/>
      <c r="J91" s="75"/>
    </row>
    <row r="92" spans="1:10" ht="15.6" x14ac:dyDescent="0.3">
      <c r="A92" s="75"/>
      <c r="B92" s="75"/>
      <c r="C92" s="75"/>
      <c r="D92" s="75"/>
      <c r="E92" s="75"/>
      <c r="F92" s="75"/>
      <c r="G92" s="75"/>
      <c r="H92" s="75"/>
      <c r="I92" s="75"/>
      <c r="J92" s="75"/>
    </row>
    <row r="93" spans="1:10" ht="15.6" x14ac:dyDescent="0.3">
      <c r="A93" s="75"/>
      <c r="B93" s="75"/>
      <c r="C93" s="75"/>
      <c r="D93" s="75"/>
      <c r="E93" s="75"/>
      <c r="F93" s="75"/>
      <c r="G93" s="75"/>
      <c r="H93" s="75"/>
      <c r="I93" s="75"/>
      <c r="J93" s="75"/>
    </row>
    <row r="94" spans="1:10" ht="15.6" x14ac:dyDescent="0.3">
      <c r="A94" s="75"/>
      <c r="B94" s="75"/>
      <c r="C94" s="75"/>
      <c r="D94" s="75"/>
      <c r="E94" s="75"/>
      <c r="F94" s="75"/>
      <c r="G94" s="75"/>
      <c r="H94" s="75"/>
      <c r="I94" s="75"/>
      <c r="J94" s="75"/>
    </row>
    <row r="95" spans="1:10" ht="15.6" x14ac:dyDescent="0.3">
      <c r="A95" s="75"/>
      <c r="B95" s="75"/>
      <c r="C95" s="75"/>
      <c r="D95" s="75"/>
      <c r="E95" s="75"/>
      <c r="F95" s="75"/>
      <c r="G95" s="75"/>
      <c r="H95" s="75"/>
      <c r="I95" s="75"/>
      <c r="J95" s="75"/>
    </row>
    <row r="96" spans="1:10" ht="15.6" x14ac:dyDescent="0.3">
      <c r="A96" s="75"/>
      <c r="B96" s="75"/>
      <c r="C96" s="75"/>
      <c r="D96" s="75"/>
      <c r="E96" s="75"/>
      <c r="F96" s="75"/>
      <c r="G96" s="75"/>
      <c r="H96" s="75"/>
      <c r="I96" s="75"/>
      <c r="J96" s="75"/>
    </row>
    <row r="97" spans="1:10" ht="15.6" x14ac:dyDescent="0.3">
      <c r="A97" s="75"/>
      <c r="B97" s="75"/>
      <c r="C97" s="75"/>
      <c r="D97" s="75"/>
      <c r="E97" s="75"/>
      <c r="F97" s="75"/>
      <c r="G97" s="75"/>
      <c r="H97" s="75"/>
      <c r="I97" s="75"/>
      <c r="J97" s="75"/>
    </row>
    <row r="98" spans="1:10" ht="15.6" x14ac:dyDescent="0.3">
      <c r="A98" s="75"/>
      <c r="B98" s="75"/>
      <c r="C98" s="75"/>
      <c r="D98" s="75"/>
      <c r="E98" s="75"/>
      <c r="F98" s="75"/>
      <c r="G98" s="75"/>
      <c r="H98" s="75"/>
      <c r="I98" s="75"/>
      <c r="J98" s="75"/>
    </row>
    <row r="99" spans="1:10" ht="15.6" x14ac:dyDescent="0.3">
      <c r="A99" s="75"/>
      <c r="B99" s="75"/>
      <c r="C99" s="75"/>
      <c r="D99" s="75"/>
      <c r="E99" s="75"/>
      <c r="F99" s="75"/>
      <c r="G99" s="75"/>
      <c r="H99" s="75"/>
      <c r="I99" s="75"/>
      <c r="J99" s="75"/>
    </row>
    <row r="100" spans="1:10" ht="15.6" x14ac:dyDescent="0.3">
      <c r="A100" s="75"/>
      <c r="B100" s="75"/>
      <c r="C100" s="75"/>
      <c r="D100" s="75"/>
      <c r="E100" s="75"/>
      <c r="F100" s="75"/>
      <c r="G100" s="75"/>
      <c r="H100" s="75"/>
      <c r="I100" s="75"/>
      <c r="J100" s="75"/>
    </row>
    <row r="101" spans="1:10" ht="15.6" x14ac:dyDescent="0.3">
      <c r="A101" s="75"/>
      <c r="B101" s="75"/>
      <c r="C101" s="75"/>
      <c r="D101" s="75"/>
      <c r="E101" s="75"/>
      <c r="F101" s="75"/>
      <c r="G101" s="75"/>
      <c r="H101" s="75"/>
      <c r="I101" s="75"/>
      <c r="J101" s="75"/>
    </row>
    <row r="102" spans="1:10" ht="15.6" x14ac:dyDescent="0.3">
      <c r="A102" s="75"/>
      <c r="B102" s="75"/>
      <c r="C102" s="75"/>
      <c r="D102" s="75"/>
      <c r="E102" s="75"/>
      <c r="F102" s="75"/>
      <c r="G102" s="75"/>
      <c r="H102" s="75"/>
      <c r="I102" s="75"/>
      <c r="J102" s="75"/>
    </row>
    <row r="103" spans="1:10" ht="15.6" x14ac:dyDescent="0.3">
      <c r="A103" s="75"/>
      <c r="B103" s="75"/>
      <c r="C103" s="75"/>
      <c r="D103" s="75"/>
      <c r="E103" s="75"/>
      <c r="F103" s="75"/>
      <c r="G103" s="75"/>
      <c r="H103" s="75"/>
      <c r="I103" s="75"/>
      <c r="J103" s="75"/>
    </row>
    <row r="104" spans="1:10" ht="15.6" x14ac:dyDescent="0.3">
      <c r="A104" s="75"/>
      <c r="B104" s="75"/>
      <c r="C104" s="75"/>
      <c r="D104" s="75"/>
      <c r="E104" s="75"/>
      <c r="F104" s="75"/>
      <c r="G104" s="75"/>
      <c r="H104" s="75"/>
      <c r="I104" s="75"/>
      <c r="J104" s="75"/>
    </row>
    <row r="105" spans="1:10" ht="15.6" x14ac:dyDescent="0.3">
      <c r="A105" s="75"/>
      <c r="B105" s="75"/>
      <c r="C105" s="75"/>
      <c r="D105" s="75"/>
      <c r="E105" s="75"/>
      <c r="F105" s="75"/>
      <c r="G105" s="75"/>
      <c r="H105" s="75"/>
      <c r="I105" s="75"/>
      <c r="J105" s="75"/>
    </row>
    <row r="106" spans="1:10" ht="15.6" x14ac:dyDescent="0.3">
      <c r="A106" s="75"/>
      <c r="B106" s="75"/>
      <c r="C106" s="75"/>
      <c r="D106" s="75"/>
      <c r="E106" s="75"/>
      <c r="F106" s="75"/>
      <c r="G106" s="75"/>
      <c r="H106" s="75"/>
      <c r="I106" s="75"/>
      <c r="J106" s="75"/>
    </row>
    <row r="107" spans="1:10" ht="15.6" x14ac:dyDescent="0.3">
      <c r="A107" s="75"/>
      <c r="B107" s="75"/>
      <c r="C107" s="75"/>
      <c r="D107" s="75"/>
      <c r="E107" s="75"/>
      <c r="F107" s="75"/>
      <c r="G107" s="75"/>
      <c r="H107" s="75"/>
      <c r="I107" s="75"/>
      <c r="J107" s="75"/>
    </row>
    <row r="108" spans="1:10" ht="15.6" x14ac:dyDescent="0.3">
      <c r="A108" s="75"/>
      <c r="B108" s="75"/>
      <c r="C108" s="75"/>
      <c r="D108" s="75"/>
      <c r="E108" s="75"/>
      <c r="F108" s="75"/>
      <c r="G108" s="75"/>
      <c r="H108" s="75"/>
      <c r="I108" s="75"/>
      <c r="J108" s="75"/>
    </row>
    <row r="109" spans="1:10" ht="15.6" x14ac:dyDescent="0.3">
      <c r="A109" s="75"/>
      <c r="B109" s="75"/>
      <c r="C109" s="75"/>
      <c r="D109" s="75"/>
      <c r="E109" s="75"/>
      <c r="F109" s="75"/>
      <c r="G109" s="75"/>
      <c r="H109" s="75"/>
      <c r="I109" s="75"/>
      <c r="J109" s="75"/>
    </row>
    <row r="110" spans="1:10" ht="15.6" x14ac:dyDescent="0.3">
      <c r="A110" s="75"/>
      <c r="B110" s="75"/>
      <c r="C110" s="75"/>
      <c r="D110" s="75"/>
      <c r="E110" s="75"/>
      <c r="F110" s="75"/>
      <c r="G110" s="75"/>
      <c r="H110" s="75"/>
      <c r="I110" s="75"/>
      <c r="J110" s="75"/>
    </row>
    <row r="111" spans="1:10" ht="15.6" x14ac:dyDescent="0.3">
      <c r="A111" s="75"/>
      <c r="B111" s="75"/>
      <c r="C111" s="75"/>
      <c r="D111" s="75"/>
      <c r="E111" s="75"/>
      <c r="F111" s="75"/>
      <c r="G111" s="75"/>
      <c r="H111" s="75"/>
      <c r="I111" s="75"/>
      <c r="J111" s="75"/>
    </row>
    <row r="112" spans="1:10" ht="15.6" x14ac:dyDescent="0.3">
      <c r="A112" s="75"/>
      <c r="B112" s="75"/>
      <c r="C112" s="75"/>
      <c r="D112" s="75"/>
      <c r="E112" s="75"/>
      <c r="F112" s="75"/>
      <c r="G112" s="75"/>
      <c r="H112" s="75"/>
      <c r="I112" s="75"/>
      <c r="J112" s="75"/>
    </row>
    <row r="113" spans="1:10" ht="15.6" x14ac:dyDescent="0.3">
      <c r="A113" s="75"/>
      <c r="B113" s="75"/>
      <c r="C113" s="75"/>
      <c r="D113" s="75"/>
      <c r="E113" s="75"/>
      <c r="F113" s="75"/>
      <c r="G113" s="75"/>
      <c r="H113" s="75"/>
      <c r="I113" s="75"/>
      <c r="J113" s="75"/>
    </row>
    <row r="114" spans="1:10" ht="15.6" x14ac:dyDescent="0.3">
      <c r="A114" s="75"/>
      <c r="B114" s="75"/>
      <c r="C114" s="75"/>
      <c r="D114" s="75"/>
      <c r="E114" s="75"/>
      <c r="F114" s="75"/>
      <c r="G114" s="75"/>
      <c r="H114" s="75"/>
      <c r="I114" s="75"/>
      <c r="J114" s="75"/>
    </row>
    <row r="115" spans="1:10" ht="15.6" x14ac:dyDescent="0.3">
      <c r="A115" s="75"/>
      <c r="B115" s="75"/>
      <c r="C115" s="75"/>
      <c r="D115" s="75"/>
      <c r="E115" s="75"/>
      <c r="F115" s="75"/>
      <c r="G115" s="75"/>
      <c r="H115" s="75"/>
      <c r="I115" s="75"/>
      <c r="J115" s="75"/>
    </row>
    <row r="116" spans="1:10" ht="15.6" x14ac:dyDescent="0.3">
      <c r="A116" s="75"/>
      <c r="B116" s="75"/>
      <c r="C116" s="75"/>
      <c r="D116" s="75"/>
      <c r="E116" s="75"/>
      <c r="F116" s="75"/>
      <c r="G116" s="75"/>
      <c r="H116" s="75"/>
      <c r="I116" s="75"/>
      <c r="J116" s="75"/>
    </row>
    <row r="117" spans="1:10" ht="15.6" x14ac:dyDescent="0.3">
      <c r="A117" s="75"/>
      <c r="B117" s="75"/>
      <c r="C117" s="75"/>
      <c r="D117" s="75"/>
      <c r="E117" s="75"/>
      <c r="F117" s="75"/>
      <c r="G117" s="75"/>
      <c r="H117" s="75"/>
      <c r="I117" s="75"/>
      <c r="J117" s="75"/>
    </row>
    <row r="118" spans="1:10" ht="15.6" x14ac:dyDescent="0.3">
      <c r="A118" s="75"/>
      <c r="B118" s="75"/>
      <c r="C118" s="75"/>
      <c r="D118" s="75"/>
      <c r="E118" s="75"/>
      <c r="F118" s="75"/>
      <c r="G118" s="75"/>
      <c r="H118" s="75"/>
      <c r="I118" s="75"/>
      <c r="J118" s="75"/>
    </row>
    <row r="119" spans="1:10" ht="15.6" x14ac:dyDescent="0.3">
      <c r="A119" s="75"/>
      <c r="B119" s="75"/>
      <c r="C119" s="75"/>
      <c r="D119" s="75"/>
      <c r="E119" s="75"/>
      <c r="F119" s="75"/>
      <c r="G119" s="75"/>
      <c r="H119" s="75"/>
      <c r="I119" s="75"/>
      <c r="J119" s="75"/>
    </row>
    <row r="120" spans="1:10" ht="15.6" x14ac:dyDescent="0.3">
      <c r="A120" s="75"/>
      <c r="B120" s="75"/>
      <c r="C120" s="75"/>
      <c r="D120" s="75"/>
      <c r="E120" s="75"/>
      <c r="F120" s="75"/>
      <c r="G120" s="75"/>
      <c r="H120" s="75"/>
      <c r="I120" s="75"/>
      <c r="J120" s="75"/>
    </row>
    <row r="121" spans="1:10" ht="15.6" x14ac:dyDescent="0.3">
      <c r="A121" s="75"/>
      <c r="B121" s="75"/>
      <c r="C121" s="75"/>
      <c r="D121" s="75"/>
      <c r="E121" s="75"/>
      <c r="F121" s="75"/>
      <c r="G121" s="75"/>
      <c r="H121" s="75"/>
      <c r="I121" s="75"/>
      <c r="J121" s="75"/>
    </row>
    <row r="122" spans="1:10" ht="15.6" x14ac:dyDescent="0.3">
      <c r="A122" s="75"/>
      <c r="B122" s="75"/>
      <c r="C122" s="75"/>
      <c r="D122" s="75"/>
      <c r="E122" s="75"/>
      <c r="F122" s="75"/>
      <c r="G122" s="75"/>
      <c r="H122" s="75"/>
      <c r="I122" s="75"/>
      <c r="J122" s="75"/>
    </row>
    <row r="123" spans="1:10" ht="15.6" x14ac:dyDescent="0.3">
      <c r="A123" s="75"/>
      <c r="B123" s="75"/>
      <c r="C123" s="75"/>
      <c r="D123" s="75"/>
      <c r="E123" s="75"/>
      <c r="F123" s="75"/>
      <c r="G123" s="75"/>
      <c r="H123" s="75"/>
      <c r="I123" s="75"/>
      <c r="J123" s="75"/>
    </row>
    <row r="124" spans="1:10" ht="15.6" x14ac:dyDescent="0.3">
      <c r="A124" s="75"/>
      <c r="B124" s="75"/>
      <c r="C124" s="75"/>
      <c r="D124" s="75"/>
      <c r="E124" s="75"/>
      <c r="F124" s="75"/>
      <c r="G124" s="75"/>
      <c r="H124" s="75"/>
      <c r="I124" s="75"/>
      <c r="J124" s="75"/>
    </row>
    <row r="125" spans="1:10" ht="15.6" x14ac:dyDescent="0.3">
      <c r="A125" s="75"/>
      <c r="B125" s="75"/>
      <c r="C125" s="75"/>
      <c r="D125" s="75"/>
      <c r="E125" s="75"/>
      <c r="F125" s="75"/>
      <c r="G125" s="75"/>
      <c r="H125" s="75"/>
      <c r="I125" s="75"/>
      <c r="J125" s="75"/>
    </row>
    <row r="126" spans="1:10" ht="15.6" x14ac:dyDescent="0.3">
      <c r="A126" s="75"/>
      <c r="B126" s="75"/>
      <c r="C126" s="75"/>
      <c r="D126" s="75"/>
      <c r="E126" s="75"/>
      <c r="F126" s="75"/>
      <c r="G126" s="75"/>
      <c r="H126" s="75"/>
      <c r="I126" s="75"/>
      <c r="J126" s="75"/>
    </row>
    <row r="127" spans="1:10" ht="15.6" x14ac:dyDescent="0.3">
      <c r="A127" s="75"/>
      <c r="B127" s="75"/>
      <c r="C127" s="75"/>
      <c r="D127" s="75"/>
      <c r="E127" s="75"/>
      <c r="F127" s="75"/>
      <c r="G127" s="75"/>
      <c r="H127" s="75"/>
      <c r="I127" s="75"/>
      <c r="J127" s="75"/>
    </row>
    <row r="128" spans="1:10" ht="15.6" x14ac:dyDescent="0.3">
      <c r="A128" s="75"/>
      <c r="B128" s="75"/>
      <c r="C128" s="75"/>
      <c r="D128" s="75"/>
      <c r="E128" s="75"/>
      <c r="F128" s="75"/>
      <c r="G128" s="75"/>
      <c r="H128" s="75"/>
      <c r="I128" s="75"/>
      <c r="J128" s="75"/>
    </row>
    <row r="129" spans="1:10" ht="15.6" x14ac:dyDescent="0.3">
      <c r="A129" s="75"/>
      <c r="B129" s="75"/>
      <c r="C129" s="75"/>
      <c r="D129" s="75"/>
      <c r="E129" s="75"/>
      <c r="F129" s="75"/>
      <c r="G129" s="75"/>
      <c r="H129" s="75"/>
      <c r="I129" s="75"/>
      <c r="J129" s="75"/>
    </row>
    <row r="130" spans="1:10" ht="15.6" x14ac:dyDescent="0.3">
      <c r="A130" s="75"/>
      <c r="B130" s="75"/>
      <c r="C130" s="75"/>
      <c r="D130" s="75"/>
      <c r="E130" s="75"/>
      <c r="F130" s="75"/>
      <c r="G130" s="75"/>
      <c r="H130" s="75"/>
      <c r="I130" s="75"/>
      <c r="J130" s="75"/>
    </row>
    <row r="131" spans="1:10" ht="15.6" x14ac:dyDescent="0.3">
      <c r="A131" s="75"/>
      <c r="B131" s="75"/>
      <c r="C131" s="75"/>
      <c r="D131" s="75"/>
      <c r="E131" s="75"/>
      <c r="F131" s="75"/>
      <c r="G131" s="75"/>
      <c r="H131" s="75"/>
      <c r="I131" s="75"/>
      <c r="J131" s="75"/>
    </row>
    <row r="132" spans="1:10" ht="15.6" x14ac:dyDescent="0.3">
      <c r="A132" s="75"/>
      <c r="B132" s="75"/>
      <c r="C132" s="75"/>
      <c r="D132" s="75"/>
      <c r="E132" s="75"/>
      <c r="F132" s="75"/>
      <c r="G132" s="75"/>
      <c r="H132" s="75"/>
      <c r="I132" s="75"/>
      <c r="J132" s="75"/>
    </row>
    <row r="133" spans="1:10" ht="15.6" x14ac:dyDescent="0.3">
      <c r="A133" s="75"/>
      <c r="B133" s="75"/>
      <c r="C133" s="75"/>
      <c r="D133" s="75"/>
      <c r="E133" s="75"/>
      <c r="F133" s="75"/>
      <c r="G133" s="75"/>
      <c r="H133" s="75"/>
      <c r="I133" s="75"/>
      <c r="J133" s="75"/>
    </row>
    <row r="134" spans="1:10" ht="15.6" x14ac:dyDescent="0.3">
      <c r="A134" s="75"/>
      <c r="B134" s="75"/>
      <c r="C134" s="75"/>
      <c r="D134" s="75"/>
      <c r="E134" s="75"/>
      <c r="F134" s="75"/>
      <c r="G134" s="75"/>
      <c r="H134" s="75"/>
      <c r="I134" s="75"/>
      <c r="J134" s="75"/>
    </row>
  </sheetData>
  <mergeCells count="12">
    <mergeCell ref="F15:G15"/>
    <mergeCell ref="B22:B24"/>
    <mergeCell ref="C22:C24"/>
    <mergeCell ref="D22:D24"/>
    <mergeCell ref="B35:B36"/>
    <mergeCell ref="C35:C36"/>
    <mergeCell ref="D35:D36"/>
    <mergeCell ref="B42:B43"/>
    <mergeCell ref="C42:C43"/>
    <mergeCell ref="D42:D43"/>
    <mergeCell ref="B40:D40"/>
    <mergeCell ref="B48:D48"/>
  </mergeCells>
  <pageMargins left="0.7" right="0.7" top="0.75" bottom="0.75" header="0.3" footer="0.3"/>
  <pageSetup scale="3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E82C-FBE6-4F1D-910D-32FF3B1ACA02}">
  <dimension ref="B1:L40"/>
  <sheetViews>
    <sheetView topLeftCell="A17" zoomScale="71" workbookViewId="0">
      <selection activeCell="D36" sqref="D36"/>
    </sheetView>
  </sheetViews>
  <sheetFormatPr defaultColWidth="17.88671875" defaultRowHeight="18.600000000000001" customHeight="1" x14ac:dyDescent="0.3"/>
  <cols>
    <col min="1" max="1" width="17.88671875" style="74"/>
    <col min="2" max="2" width="66.33203125" style="74" customWidth="1"/>
    <col min="3" max="3" width="36.21875" style="74" bestFit="1" customWidth="1"/>
    <col min="4" max="6" width="17.88671875" style="74"/>
    <col min="7" max="7" width="37.5546875" style="74" customWidth="1"/>
    <col min="8" max="8" width="32" style="74" customWidth="1"/>
    <col min="9" max="9" width="30.6640625" style="74" customWidth="1"/>
    <col min="10" max="10" width="44.21875" style="74" bestFit="1" customWidth="1"/>
    <col min="11" max="11" width="26" style="74" bestFit="1" customWidth="1"/>
    <col min="12" max="12" width="31.6640625" style="74" customWidth="1"/>
    <col min="13" max="16384" width="17.88671875" style="74"/>
  </cols>
  <sheetData>
    <row r="1" spans="2:12" ht="18.600000000000001" customHeight="1" thickBot="1" x14ac:dyDescent="0.35">
      <c r="B1" s="75"/>
      <c r="C1" s="75"/>
      <c r="D1" s="75"/>
      <c r="E1" s="75"/>
      <c r="F1" s="75"/>
    </row>
    <row r="2" spans="2:12" ht="32.4" customHeight="1" thickTop="1" thickBot="1" x14ac:dyDescent="0.35">
      <c r="B2" s="628" t="s">
        <v>108</v>
      </c>
      <c r="C2" s="629"/>
      <c r="D2" s="629"/>
      <c r="E2" s="630"/>
      <c r="F2" s="75"/>
      <c r="G2" s="271"/>
      <c r="H2" s="273"/>
      <c r="I2" s="272"/>
      <c r="J2" s="273"/>
      <c r="K2" s="272"/>
      <c r="L2" s="270"/>
    </row>
    <row r="3" spans="2:12" ht="61.8" customHeight="1" thickTop="1" thickBot="1" x14ac:dyDescent="0.35">
      <c r="B3" s="267"/>
      <c r="C3" s="244"/>
      <c r="D3" s="244"/>
      <c r="E3" s="268"/>
      <c r="F3" s="75"/>
      <c r="G3" s="98"/>
      <c r="H3" s="99" t="s">
        <v>115</v>
      </c>
      <c r="I3" s="73" t="s">
        <v>120</v>
      </c>
      <c r="J3" s="100" t="s">
        <v>66</v>
      </c>
      <c r="K3" s="100" t="s">
        <v>121</v>
      </c>
      <c r="L3" s="101" t="s">
        <v>122</v>
      </c>
    </row>
    <row r="4" spans="2:12" ht="27" customHeight="1" thickTop="1" thickBot="1" x14ac:dyDescent="0.35">
      <c r="B4" s="269" t="s">
        <v>111</v>
      </c>
      <c r="C4" s="626"/>
      <c r="D4" s="626"/>
      <c r="E4" s="627"/>
      <c r="F4" s="75"/>
      <c r="G4" s="66" t="s">
        <v>114</v>
      </c>
      <c r="H4" s="67">
        <v>37012</v>
      </c>
      <c r="I4" s="66">
        <v>102100</v>
      </c>
      <c r="J4" s="66">
        <f>SUM(H4,I4)</f>
        <v>139112</v>
      </c>
      <c r="K4" s="66">
        <f>0.25*J4</f>
        <v>34778</v>
      </c>
      <c r="L4" s="64">
        <f>J4-K4-H4</f>
        <v>67322</v>
      </c>
    </row>
    <row r="5" spans="2:12" ht="27" customHeight="1" thickTop="1" thickBot="1" x14ac:dyDescent="0.35">
      <c r="B5" s="647"/>
      <c r="C5" s="648"/>
      <c r="D5" s="648"/>
      <c r="E5" s="649"/>
      <c r="F5" s="75"/>
      <c r="G5" s="63" t="s">
        <v>116</v>
      </c>
      <c r="H5" s="67">
        <f>1.2*H4</f>
        <v>44414.400000000001</v>
      </c>
      <c r="I5" s="66">
        <f>1.1*I4</f>
        <v>112310.00000000001</v>
      </c>
      <c r="J5" s="63">
        <f t="shared" ref="J5:J8" si="0">SUM(H5,I5)</f>
        <v>156724.40000000002</v>
      </c>
      <c r="K5" s="63">
        <f>0.28*J5</f>
        <v>43882.832000000009</v>
      </c>
      <c r="L5" s="64">
        <f>J5-K5-H5</f>
        <v>68427.168000000005</v>
      </c>
    </row>
    <row r="6" spans="2:12" ht="27" customHeight="1" thickTop="1" thickBot="1" x14ac:dyDescent="0.35">
      <c r="B6" s="66" t="s">
        <v>113</v>
      </c>
      <c r="C6" s="644">
        <f>H11</f>
        <v>16965144</v>
      </c>
      <c r="D6" s="645"/>
      <c r="E6" s="646"/>
      <c r="F6" s="75"/>
      <c r="G6" s="66" t="s">
        <v>119</v>
      </c>
      <c r="H6" s="67">
        <f t="shared" ref="H6:H8" si="1">1.2*H5</f>
        <v>53297.279999999999</v>
      </c>
      <c r="I6" s="66">
        <f t="shared" ref="I6:I8" si="2">1.1*I5</f>
        <v>123541.00000000003</v>
      </c>
      <c r="J6" s="63">
        <f t="shared" si="0"/>
        <v>176838.28000000003</v>
      </c>
      <c r="K6" s="63">
        <f>0.3*J6</f>
        <v>53051.484000000004</v>
      </c>
      <c r="L6" s="64">
        <f t="shared" ref="L6:L8" si="3">J6-K6-H6</f>
        <v>70489.516000000032</v>
      </c>
    </row>
    <row r="7" spans="2:12" ht="27" customHeight="1" thickTop="1" thickBot="1" x14ac:dyDescent="0.35">
      <c r="B7" s="65"/>
      <c r="C7" s="644"/>
      <c r="D7" s="645"/>
      <c r="E7" s="646"/>
      <c r="F7" s="75"/>
      <c r="G7" s="266" t="s">
        <v>117</v>
      </c>
      <c r="H7" s="67">
        <f t="shared" si="1"/>
        <v>63956.735999999997</v>
      </c>
      <c r="I7" s="66">
        <f t="shared" si="2"/>
        <v>135895.10000000003</v>
      </c>
      <c r="J7" s="63">
        <f t="shared" si="0"/>
        <v>199851.83600000004</v>
      </c>
      <c r="K7" s="63">
        <f>0.32*J7</f>
        <v>63952.587520000016</v>
      </c>
      <c r="L7" s="63">
        <f t="shared" si="3"/>
        <v>71942.512480000005</v>
      </c>
    </row>
    <row r="8" spans="2:12" ht="27" customHeight="1" thickTop="1" thickBot="1" x14ac:dyDescent="0.35">
      <c r="B8" s="650"/>
      <c r="C8" s="651"/>
      <c r="D8" s="651"/>
      <c r="E8" s="652"/>
      <c r="F8" s="75"/>
      <c r="G8" s="266" t="s">
        <v>118</v>
      </c>
      <c r="H8" s="67">
        <f t="shared" si="1"/>
        <v>76748.083199999994</v>
      </c>
      <c r="I8" s="66">
        <f t="shared" si="2"/>
        <v>149484.61000000004</v>
      </c>
      <c r="J8" s="66">
        <f t="shared" si="0"/>
        <v>226232.69320000004</v>
      </c>
      <c r="K8" s="66">
        <f>0.33*J8</f>
        <v>74656.788756000009</v>
      </c>
      <c r="L8" s="66">
        <f t="shared" si="3"/>
        <v>74827.82124400005</v>
      </c>
    </row>
    <row r="9" spans="2:12" ht="27" customHeight="1" thickTop="1" thickBot="1" x14ac:dyDescent="0.35">
      <c r="B9" s="265" t="s">
        <v>105</v>
      </c>
      <c r="C9" s="644" t="s">
        <v>261</v>
      </c>
      <c r="D9" s="645"/>
      <c r="E9" s="646"/>
      <c r="F9" s="75"/>
      <c r="G9" s="274"/>
      <c r="H9" s="276"/>
      <c r="I9" s="275"/>
      <c r="J9" s="276"/>
      <c r="K9" s="278"/>
    </row>
    <row r="10" spans="2:12" ht="43.8" customHeight="1" thickTop="1" thickBot="1" x14ac:dyDescent="0.35">
      <c r="B10" s="265" t="s">
        <v>112</v>
      </c>
      <c r="C10" s="644" t="s">
        <v>307</v>
      </c>
      <c r="D10" s="645"/>
      <c r="E10" s="646"/>
      <c r="F10" s="75"/>
      <c r="G10" s="108" t="s">
        <v>123</v>
      </c>
      <c r="H10" s="108" t="s">
        <v>124</v>
      </c>
      <c r="I10" s="109" t="s">
        <v>125</v>
      </c>
      <c r="J10" s="277" t="s">
        <v>126</v>
      </c>
      <c r="K10" s="279"/>
    </row>
    <row r="11" spans="2:12" ht="27" customHeight="1" thickTop="1" thickBot="1" x14ac:dyDescent="0.35">
      <c r="B11" s="644"/>
      <c r="C11" s="645"/>
      <c r="D11" s="645"/>
      <c r="E11" s="646"/>
      <c r="F11" s="75"/>
      <c r="G11" s="63">
        <f>21*L4</f>
        <v>1413762</v>
      </c>
      <c r="H11" s="157">
        <f>G11*12</f>
        <v>16965144</v>
      </c>
      <c r="I11" s="102">
        <f>1000000/H11</f>
        <v>5.894438620739087E-2</v>
      </c>
      <c r="J11" s="106">
        <f>0.33*G11</f>
        <v>466541.46</v>
      </c>
      <c r="K11" s="280"/>
    </row>
    <row r="12" spans="2:12" ht="27" customHeight="1" thickTop="1" thickBot="1" x14ac:dyDescent="0.35">
      <c r="B12" s="284" t="s">
        <v>106</v>
      </c>
      <c r="C12" s="285"/>
      <c r="D12" s="634"/>
      <c r="E12" s="635"/>
      <c r="F12" s="75"/>
      <c r="G12" s="66">
        <f>21*L5</f>
        <v>1436970.5280000002</v>
      </c>
      <c r="H12" s="157">
        <f t="shared" ref="H12:H15" si="4">G12*12</f>
        <v>17243646.336000003</v>
      </c>
      <c r="I12" s="103">
        <f>1000000/H12</f>
        <v>5.799237472832381E-2</v>
      </c>
      <c r="J12" s="106">
        <f t="shared" ref="J12:J15" si="5">0.33*G12</f>
        <v>474200.27424000006</v>
      </c>
      <c r="K12" s="280"/>
    </row>
    <row r="13" spans="2:12" ht="27" customHeight="1" thickTop="1" thickBot="1" x14ac:dyDescent="0.35">
      <c r="B13" s="281" t="s">
        <v>107</v>
      </c>
      <c r="C13" s="63">
        <v>2</v>
      </c>
      <c r="D13" s="634"/>
      <c r="E13" s="635"/>
      <c r="F13" s="75"/>
      <c r="G13" s="66">
        <f>21*L6</f>
        <v>1480279.8360000006</v>
      </c>
      <c r="H13" s="157">
        <f t="shared" si="4"/>
        <v>17763358.032000005</v>
      </c>
      <c r="I13" s="104">
        <f>1000000/H13</f>
        <v>5.6295662013822981E-2</v>
      </c>
      <c r="J13" s="106">
        <f t="shared" si="5"/>
        <v>488492.34588000021</v>
      </c>
      <c r="K13" s="280"/>
    </row>
    <row r="14" spans="2:12" ht="27" customHeight="1" thickTop="1" thickBot="1" x14ac:dyDescent="0.35">
      <c r="B14" s="286" t="s">
        <v>109</v>
      </c>
      <c r="C14" s="66" t="s">
        <v>263</v>
      </c>
      <c r="D14" s="634"/>
      <c r="E14" s="635"/>
      <c r="F14" s="75"/>
      <c r="G14" s="70">
        <f>21*L7</f>
        <v>1510792.76208</v>
      </c>
      <c r="H14" s="157">
        <f t="shared" si="4"/>
        <v>18129513.144960001</v>
      </c>
      <c r="I14" s="104">
        <f>1000000/H14</f>
        <v>5.5158679221234339E-2</v>
      </c>
      <c r="J14" s="106">
        <f t="shared" si="5"/>
        <v>498561.61148640001</v>
      </c>
      <c r="K14" s="280"/>
    </row>
    <row r="15" spans="2:12" ht="27" customHeight="1" thickTop="1" thickBot="1" x14ac:dyDescent="0.35">
      <c r="B15" s="287" t="s">
        <v>110</v>
      </c>
      <c r="C15" s="70">
        <v>10</v>
      </c>
      <c r="D15" s="634"/>
      <c r="E15" s="635"/>
      <c r="F15" s="75"/>
      <c r="G15" s="70">
        <f>21*L8</f>
        <v>1571384.246124001</v>
      </c>
      <c r="H15" s="158">
        <f t="shared" si="4"/>
        <v>18856610.953488011</v>
      </c>
      <c r="I15" s="105">
        <f>1000000/H15</f>
        <v>5.3031798898890925E-2</v>
      </c>
      <c r="J15" s="107">
        <f t="shared" si="5"/>
        <v>518556.80122092034</v>
      </c>
      <c r="K15" s="280"/>
    </row>
    <row r="16" spans="2:12" ht="27" customHeight="1" thickTop="1" thickBot="1" x14ac:dyDescent="0.35">
      <c r="B16" s="287" t="s">
        <v>127</v>
      </c>
      <c r="C16" s="288">
        <f>C15*25*2</f>
        <v>500</v>
      </c>
      <c r="D16" s="634"/>
      <c r="E16" s="635"/>
      <c r="F16" s="75"/>
      <c r="G16" s="96"/>
      <c r="H16" s="1"/>
      <c r="I16" s="1"/>
      <c r="J16" s="1"/>
      <c r="K16" s="1"/>
    </row>
    <row r="17" spans="2:11" ht="27" customHeight="1" thickTop="1" thickBot="1" x14ac:dyDescent="0.35">
      <c r="B17" s="289" t="s">
        <v>128</v>
      </c>
      <c r="C17" s="290">
        <f>250*C16</f>
        <v>125000</v>
      </c>
      <c r="D17" s="282"/>
      <c r="E17" s="283"/>
      <c r="F17" s="75"/>
      <c r="G17" s="96"/>
      <c r="H17" s="1"/>
      <c r="I17" s="1"/>
      <c r="J17" s="1"/>
      <c r="K17" s="1"/>
    </row>
    <row r="18" spans="2:11" ht="27" customHeight="1" thickTop="1" thickBot="1" x14ac:dyDescent="0.35">
      <c r="B18" s="641" t="s">
        <v>260</v>
      </c>
      <c r="C18" s="642"/>
      <c r="D18" s="642"/>
      <c r="E18" s="643"/>
      <c r="F18" s="75"/>
      <c r="G18" s="35"/>
      <c r="H18" s="1"/>
      <c r="I18" s="1"/>
      <c r="J18" s="1"/>
      <c r="K18" s="1"/>
    </row>
    <row r="19" spans="2:11" ht="27" customHeight="1" thickTop="1" thickBot="1" x14ac:dyDescent="0.35">
      <c r="B19" s="284" t="s">
        <v>129</v>
      </c>
      <c r="C19" s="285"/>
      <c r="D19" s="636"/>
      <c r="E19" s="637"/>
      <c r="F19" s="75"/>
      <c r="G19" s="96"/>
      <c r="H19" s="1"/>
      <c r="I19" s="1"/>
      <c r="J19" s="1"/>
      <c r="K19" s="1"/>
    </row>
    <row r="20" spans="2:11" ht="27" customHeight="1" thickTop="1" thickBot="1" x14ac:dyDescent="0.35">
      <c r="B20" s="289" t="s">
        <v>130</v>
      </c>
      <c r="C20" s="63" t="s">
        <v>230</v>
      </c>
      <c r="D20" s="638"/>
      <c r="E20" s="639"/>
      <c r="F20" s="75"/>
      <c r="I20" s="1"/>
      <c r="J20" s="1"/>
      <c r="K20" s="1"/>
    </row>
    <row r="21" spans="2:11" ht="27" customHeight="1" thickTop="1" thickBot="1" x14ac:dyDescent="0.35">
      <c r="B21" s="286" t="s">
        <v>131</v>
      </c>
      <c r="C21" s="66" t="s">
        <v>231</v>
      </c>
      <c r="D21" s="640"/>
      <c r="E21" s="637"/>
      <c r="F21" s="75"/>
    </row>
    <row r="22" spans="2:11" ht="27" customHeight="1" thickTop="1" thickBot="1" x14ac:dyDescent="0.35">
      <c r="B22" s="631" t="s">
        <v>232</v>
      </c>
      <c r="C22" s="632"/>
      <c r="D22" s="632"/>
      <c r="E22" s="633"/>
      <c r="F22" s="75"/>
      <c r="G22" s="97"/>
      <c r="H22" s="97"/>
      <c r="I22" s="75"/>
      <c r="J22" s="75"/>
      <c r="K22" s="75"/>
    </row>
    <row r="23" spans="2:11" ht="18.600000000000001" customHeight="1" thickTop="1" thickBot="1" x14ac:dyDescent="0.35">
      <c r="B23" s="189"/>
      <c r="C23" s="182"/>
      <c r="D23" s="182"/>
      <c r="E23" s="178"/>
      <c r="G23" s="97"/>
      <c r="H23" s="97"/>
      <c r="I23" s="75"/>
      <c r="J23" s="75"/>
      <c r="K23" s="75"/>
    </row>
    <row r="24" spans="2:11" ht="18.600000000000001" customHeight="1" thickTop="1" x14ac:dyDescent="0.3">
      <c r="B24" s="662" t="s">
        <v>262</v>
      </c>
      <c r="C24" s="663"/>
      <c r="D24" s="668">
        <f>350000+200000+100000+20000</f>
        <v>670000</v>
      </c>
      <c r="E24" s="669"/>
    </row>
    <row r="25" spans="2:11" ht="18.600000000000001" customHeight="1" x14ac:dyDescent="0.3">
      <c r="B25" s="664"/>
      <c r="C25" s="665"/>
      <c r="D25" s="670"/>
      <c r="E25" s="671"/>
    </row>
    <row r="26" spans="2:11" ht="18.600000000000001" customHeight="1" thickBot="1" x14ac:dyDescent="0.35">
      <c r="B26" s="666"/>
      <c r="C26" s="667"/>
      <c r="D26" s="672"/>
      <c r="E26" s="673"/>
    </row>
    <row r="27" spans="2:11" ht="18.600000000000001" customHeight="1" thickTop="1" x14ac:dyDescent="0.3">
      <c r="B27" s="606" t="s">
        <v>59</v>
      </c>
      <c r="C27" s="653" t="s">
        <v>264</v>
      </c>
      <c r="D27" s="654"/>
      <c r="E27" s="655"/>
    </row>
    <row r="28" spans="2:11" ht="18.600000000000001" customHeight="1" x14ac:dyDescent="0.3">
      <c r="B28" s="674"/>
      <c r="C28" s="656"/>
      <c r="D28" s="657"/>
      <c r="E28" s="658"/>
    </row>
    <row r="29" spans="2:11" ht="52.2" customHeight="1" thickBot="1" x14ac:dyDescent="0.35">
      <c r="B29" s="607"/>
      <c r="C29" s="659"/>
      <c r="D29" s="660"/>
      <c r="E29" s="661"/>
    </row>
    <row r="30" spans="2:11" ht="18.600000000000001" customHeight="1" thickTop="1" x14ac:dyDescent="0.3">
      <c r="B30" s="653" t="s">
        <v>265</v>
      </c>
      <c r="C30" s="654"/>
      <c r="D30" s="654"/>
      <c r="E30" s="655"/>
    </row>
    <row r="31" spans="2:11" ht="18.600000000000001" customHeight="1" x14ac:dyDescent="0.3">
      <c r="B31" s="656"/>
      <c r="C31" s="657"/>
      <c r="D31" s="657"/>
      <c r="E31" s="658"/>
    </row>
    <row r="32" spans="2:11" ht="18.600000000000001" customHeight="1" x14ac:dyDescent="0.3">
      <c r="B32" s="656"/>
      <c r="C32" s="657"/>
      <c r="D32" s="657"/>
      <c r="E32" s="658"/>
    </row>
    <row r="33" spans="2:5" ht="18.600000000000001" customHeight="1" thickBot="1" x14ac:dyDescent="0.35">
      <c r="B33" s="659"/>
      <c r="C33" s="660"/>
      <c r="D33" s="660"/>
      <c r="E33" s="661"/>
    </row>
    <row r="34" spans="2:5" ht="18.600000000000001" customHeight="1" thickTop="1" x14ac:dyDescent="0.3"/>
    <row r="35" spans="2:5" ht="18.600000000000001" customHeight="1" thickBot="1" x14ac:dyDescent="0.35"/>
    <row r="36" spans="2:5" ht="18.600000000000001" customHeight="1" thickTop="1" thickBot="1" x14ac:dyDescent="0.35">
      <c r="B36" s="402" t="s">
        <v>308</v>
      </c>
      <c r="C36" s="403">
        <f>(1000000-670000)/1000000*100</f>
        <v>33</v>
      </c>
      <c r="D36" s="74" t="s">
        <v>309</v>
      </c>
    </row>
    <row r="37" spans="2:5" ht="18.600000000000001" customHeight="1" thickTop="1" thickBot="1" x14ac:dyDescent="0.35">
      <c r="B37" s="405"/>
      <c r="C37" s="373"/>
    </row>
    <row r="38" spans="2:5" ht="18.600000000000001" customHeight="1" thickTop="1" thickBot="1" x14ac:dyDescent="0.35">
      <c r="B38" s="400"/>
      <c r="C38" s="401"/>
    </row>
    <row r="39" spans="2:5" ht="54" customHeight="1" thickTop="1" thickBot="1" x14ac:dyDescent="0.35">
      <c r="B39" s="402" t="s">
        <v>312</v>
      </c>
      <c r="C39" s="404" t="s">
        <v>313</v>
      </c>
    </row>
    <row r="40" spans="2:5" ht="18.600000000000001" customHeight="1" thickTop="1" x14ac:dyDescent="0.3"/>
  </sheetData>
  <mergeCells count="24">
    <mergeCell ref="C9:E9"/>
    <mergeCell ref="C7:E7"/>
    <mergeCell ref="C6:E6"/>
    <mergeCell ref="B30:E33"/>
    <mergeCell ref="B24:C26"/>
    <mergeCell ref="D24:E26"/>
    <mergeCell ref="C27:E29"/>
    <mergeCell ref="B27:B29"/>
    <mergeCell ref="C4:E4"/>
    <mergeCell ref="B2:E2"/>
    <mergeCell ref="B22:E22"/>
    <mergeCell ref="D15:E15"/>
    <mergeCell ref="D16:E16"/>
    <mergeCell ref="D19:E19"/>
    <mergeCell ref="D20:E20"/>
    <mergeCell ref="D21:E21"/>
    <mergeCell ref="B18:E18"/>
    <mergeCell ref="D12:E12"/>
    <mergeCell ref="D13:E13"/>
    <mergeCell ref="D14:E14"/>
    <mergeCell ref="B11:E11"/>
    <mergeCell ref="B5:E5"/>
    <mergeCell ref="B8:E8"/>
    <mergeCell ref="C10:E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0C8C-1D85-4F9D-9FDA-00C6C1EE136C}">
  <sheetPr>
    <pageSetUpPr fitToPage="1"/>
  </sheetPr>
  <dimension ref="A1:U35"/>
  <sheetViews>
    <sheetView topLeftCell="B11" zoomScale="79" zoomScaleNormal="115" workbookViewId="0">
      <selection activeCell="D2" sqref="D2:F29"/>
    </sheetView>
  </sheetViews>
  <sheetFormatPr defaultRowHeight="15.6" x14ac:dyDescent="0.3"/>
  <cols>
    <col min="1" max="1" width="42.88671875" style="74" customWidth="1"/>
    <col min="2" max="2" width="69.88671875" style="74" customWidth="1"/>
    <col min="3" max="3" width="53.109375" style="74" customWidth="1"/>
    <col min="4" max="10" width="8.88671875" style="74"/>
    <col min="11" max="11" width="20.33203125" style="74" customWidth="1"/>
    <col min="12" max="20" width="8.88671875" style="74"/>
    <col min="21" max="21" width="12.21875" style="74" customWidth="1"/>
    <col min="22" max="16384" width="8.88671875" style="74"/>
  </cols>
  <sheetData>
    <row r="1" spans="1:21" ht="42" customHeight="1" thickBot="1" x14ac:dyDescent="0.35">
      <c r="A1" s="181" t="s">
        <v>212</v>
      </c>
    </row>
    <row r="2" spans="1:21" ht="16.8" thickTop="1" thickBot="1" x14ac:dyDescent="0.35">
      <c r="B2" s="183"/>
      <c r="C2" s="184"/>
      <c r="D2" s="693"/>
      <c r="E2" s="693"/>
      <c r="F2" s="693"/>
      <c r="G2" s="687"/>
      <c r="H2" s="688"/>
      <c r="I2" s="688"/>
      <c r="J2" s="688"/>
      <c r="K2" s="688"/>
      <c r="L2" s="688"/>
      <c r="M2" s="688"/>
      <c r="N2" s="688"/>
      <c r="O2" s="688"/>
      <c r="P2" s="688"/>
      <c r="Q2" s="688"/>
      <c r="R2" s="688"/>
      <c r="S2" s="688"/>
      <c r="T2" s="688"/>
      <c r="U2" s="689"/>
    </row>
    <row r="3" spans="1:21" ht="16.2" customHeight="1" thickTop="1" thickBot="1" x14ac:dyDescent="0.35">
      <c r="B3" s="185"/>
      <c r="C3" s="187"/>
      <c r="D3" s="693"/>
      <c r="E3" s="693"/>
      <c r="F3" s="693"/>
      <c r="G3" s="690"/>
      <c r="H3" s="691"/>
      <c r="I3" s="691"/>
      <c r="J3" s="691"/>
      <c r="K3" s="691"/>
      <c r="L3" s="691"/>
      <c r="M3" s="691"/>
      <c r="N3" s="691"/>
      <c r="O3" s="691"/>
      <c r="P3" s="691"/>
      <c r="Q3" s="691"/>
      <c r="R3" s="691"/>
      <c r="S3" s="691"/>
      <c r="T3" s="691"/>
      <c r="U3" s="692"/>
    </row>
    <row r="4" spans="1:21" ht="28.2" customHeight="1" thickTop="1" thickBot="1" x14ac:dyDescent="0.35">
      <c r="B4" s="114" t="s">
        <v>70</v>
      </c>
      <c r="C4" s="111" t="s">
        <v>228</v>
      </c>
      <c r="D4" s="693"/>
      <c r="E4" s="693"/>
      <c r="F4" s="693"/>
      <c r="G4" s="192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4"/>
    </row>
    <row r="5" spans="1:21" ht="56.4" customHeight="1" thickTop="1" thickBot="1" x14ac:dyDescent="0.35">
      <c r="B5" s="56" t="s">
        <v>213</v>
      </c>
      <c r="C5" s="56" t="s">
        <v>214</v>
      </c>
      <c r="D5" s="693"/>
      <c r="E5" s="693"/>
      <c r="F5" s="693"/>
      <c r="G5" s="684" t="s">
        <v>223</v>
      </c>
      <c r="H5" s="685"/>
      <c r="I5" s="685"/>
      <c r="J5" s="685"/>
      <c r="K5" s="685"/>
      <c r="L5" s="685"/>
      <c r="M5" s="685"/>
      <c r="N5" s="685"/>
      <c r="O5" s="685"/>
      <c r="P5" s="685"/>
      <c r="Q5" s="685"/>
      <c r="R5" s="685"/>
      <c r="S5" s="685"/>
      <c r="T5" s="685"/>
      <c r="U5" s="686"/>
    </row>
    <row r="6" spans="1:21" ht="48" thickTop="1" thickBot="1" x14ac:dyDescent="0.35">
      <c r="B6" s="58" t="s">
        <v>328</v>
      </c>
      <c r="C6" s="188" t="s">
        <v>216</v>
      </c>
      <c r="D6" s="693"/>
      <c r="E6" s="693"/>
      <c r="F6" s="693"/>
      <c r="G6" s="698" t="s">
        <v>245</v>
      </c>
      <c r="H6" s="699"/>
      <c r="I6" s="699"/>
      <c r="J6" s="699"/>
      <c r="K6" s="699"/>
      <c r="L6" s="699"/>
      <c r="M6" s="699"/>
      <c r="N6" s="699"/>
      <c r="O6" s="699"/>
      <c r="P6" s="699"/>
      <c r="Q6" s="699"/>
      <c r="R6" s="699"/>
      <c r="S6" s="699"/>
      <c r="T6" s="699"/>
      <c r="U6" s="700"/>
    </row>
    <row r="7" spans="1:21" ht="35.4" customHeight="1" thickTop="1" thickBot="1" x14ac:dyDescent="0.35">
      <c r="B7" s="56" t="s">
        <v>226</v>
      </c>
      <c r="C7" s="330" t="s">
        <v>227</v>
      </c>
      <c r="D7" s="693"/>
      <c r="E7" s="693"/>
      <c r="F7" s="693"/>
      <c r="G7" s="701"/>
      <c r="H7" s="702"/>
      <c r="I7" s="702"/>
      <c r="J7" s="702"/>
      <c r="K7" s="702"/>
      <c r="L7" s="702"/>
      <c r="M7" s="702"/>
      <c r="N7" s="702"/>
      <c r="O7" s="702"/>
      <c r="P7" s="702"/>
      <c r="Q7" s="702"/>
      <c r="R7" s="702"/>
      <c r="S7" s="702"/>
      <c r="T7" s="702"/>
      <c r="U7" s="703"/>
    </row>
    <row r="8" spans="1:21" ht="16.8" thickTop="1" thickBot="1" x14ac:dyDescent="0.35">
      <c r="B8" s="331"/>
      <c r="C8" s="89"/>
      <c r="D8" s="693"/>
      <c r="E8" s="693"/>
      <c r="F8" s="693"/>
      <c r="G8" s="681" t="s">
        <v>235</v>
      </c>
      <c r="H8" s="682"/>
      <c r="I8" s="682"/>
      <c r="J8" s="682"/>
      <c r="K8" s="683"/>
      <c r="N8" s="704" t="s">
        <v>240</v>
      </c>
      <c r="O8" s="705"/>
      <c r="P8" s="705"/>
      <c r="Q8" s="705"/>
      <c r="R8" s="705"/>
      <c r="S8" s="705"/>
      <c r="T8" s="705"/>
      <c r="U8" s="706"/>
    </row>
    <row r="9" spans="1:21" ht="16.8" thickTop="1" thickBot="1" x14ac:dyDescent="0.35">
      <c r="B9" s="332"/>
      <c r="C9" s="268"/>
      <c r="D9" s="693"/>
      <c r="E9" s="693"/>
      <c r="F9" s="693"/>
      <c r="G9" s="675"/>
      <c r="H9" s="676"/>
      <c r="I9" s="676"/>
      <c r="J9" s="676"/>
      <c r="K9" s="677"/>
      <c r="N9" s="707"/>
      <c r="O9" s="708"/>
      <c r="P9" s="708"/>
      <c r="Q9" s="708"/>
      <c r="R9" s="708"/>
      <c r="S9" s="708"/>
      <c r="T9" s="708"/>
      <c r="U9" s="709"/>
    </row>
    <row r="10" spans="1:21" ht="16.8" thickTop="1" thickBot="1" x14ac:dyDescent="0.35">
      <c r="B10" s="62" t="s">
        <v>217</v>
      </c>
      <c r="C10" s="63" t="s">
        <v>225</v>
      </c>
      <c r="D10" s="693"/>
      <c r="E10" s="693"/>
      <c r="F10" s="693"/>
      <c r="G10" s="675"/>
      <c r="H10" s="676"/>
      <c r="I10" s="676"/>
      <c r="J10" s="676"/>
      <c r="K10" s="677"/>
      <c r="N10" s="707"/>
      <c r="O10" s="708"/>
      <c r="P10" s="708"/>
      <c r="Q10" s="708"/>
      <c r="R10" s="708"/>
      <c r="S10" s="708"/>
      <c r="T10" s="708"/>
      <c r="U10" s="709"/>
    </row>
    <row r="11" spans="1:21" ht="16.8" thickTop="1" thickBot="1" x14ac:dyDescent="0.35">
      <c r="B11" s="52" t="s">
        <v>224</v>
      </c>
      <c r="C11" s="53" t="s">
        <v>258</v>
      </c>
      <c r="D11" s="693"/>
      <c r="E11" s="693"/>
      <c r="F11" s="693"/>
      <c r="G11" s="681" t="s">
        <v>259</v>
      </c>
      <c r="H11" s="682"/>
      <c r="I11" s="682"/>
      <c r="J11" s="682"/>
      <c r="K11" s="683"/>
      <c r="L11" s="246"/>
      <c r="M11" s="246"/>
      <c r="N11" s="653" t="s">
        <v>241</v>
      </c>
      <c r="O11" s="654"/>
      <c r="P11" s="654"/>
      <c r="Q11" s="654"/>
      <c r="R11" s="654"/>
      <c r="S11" s="654"/>
      <c r="T11" s="654"/>
      <c r="U11" s="655"/>
    </row>
    <row r="12" spans="1:21" ht="16.8" thickTop="1" thickBot="1" x14ac:dyDescent="0.35">
      <c r="B12" s="52" t="s">
        <v>218</v>
      </c>
      <c r="C12" s="53" t="s">
        <v>244</v>
      </c>
      <c r="D12" s="693"/>
      <c r="E12" s="693"/>
      <c r="F12" s="693"/>
      <c r="G12" s="675"/>
      <c r="H12" s="676"/>
      <c r="I12" s="676"/>
      <c r="J12" s="676"/>
      <c r="K12" s="677"/>
      <c r="N12" s="656"/>
      <c r="O12" s="657"/>
      <c r="P12" s="657"/>
      <c r="Q12" s="657"/>
      <c r="R12" s="657"/>
      <c r="S12" s="657"/>
      <c r="T12" s="657"/>
      <c r="U12" s="658"/>
    </row>
    <row r="13" spans="1:21" ht="16.8" thickTop="1" thickBot="1" x14ac:dyDescent="0.35">
      <c r="B13" s="52" t="s">
        <v>247</v>
      </c>
      <c r="C13" s="53" t="s">
        <v>248</v>
      </c>
      <c r="D13" s="693"/>
      <c r="E13" s="693"/>
      <c r="F13" s="693"/>
      <c r="G13" s="675"/>
      <c r="H13" s="676"/>
      <c r="I13" s="676"/>
      <c r="J13" s="676"/>
      <c r="K13" s="677"/>
      <c r="N13" s="656"/>
      <c r="O13" s="657"/>
      <c r="P13" s="657"/>
      <c r="Q13" s="657"/>
      <c r="R13" s="657"/>
      <c r="S13" s="657"/>
      <c r="T13" s="657"/>
      <c r="U13" s="658"/>
    </row>
    <row r="14" spans="1:21" ht="16.8" thickTop="1" thickBot="1" x14ac:dyDescent="0.35">
      <c r="B14" s="52" t="s">
        <v>219</v>
      </c>
      <c r="C14" s="53" t="s">
        <v>257</v>
      </c>
      <c r="D14" s="693"/>
      <c r="E14" s="693"/>
      <c r="F14" s="693"/>
      <c r="G14" s="678"/>
      <c r="H14" s="679"/>
      <c r="I14" s="679"/>
      <c r="J14" s="679"/>
      <c r="K14" s="680"/>
      <c r="N14" s="656"/>
      <c r="O14" s="657"/>
      <c r="P14" s="657"/>
      <c r="Q14" s="657"/>
      <c r="R14" s="657"/>
      <c r="S14" s="657"/>
      <c r="T14" s="657"/>
      <c r="U14" s="658"/>
    </row>
    <row r="15" spans="1:21" ht="16.8" thickTop="1" thickBot="1" x14ac:dyDescent="0.35">
      <c r="B15" s="55" t="s">
        <v>220</v>
      </c>
      <c r="C15" s="56" t="s">
        <v>256</v>
      </c>
      <c r="D15" s="693"/>
      <c r="E15" s="693"/>
      <c r="F15" s="693"/>
      <c r="G15" s="681" t="s">
        <v>236</v>
      </c>
      <c r="H15" s="682"/>
      <c r="I15" s="682"/>
      <c r="J15" s="682"/>
      <c r="K15" s="683"/>
      <c r="N15" s="659"/>
      <c r="O15" s="660"/>
      <c r="P15" s="660"/>
      <c r="Q15" s="660"/>
      <c r="R15" s="660"/>
      <c r="S15" s="660"/>
      <c r="T15" s="660"/>
      <c r="U15" s="661"/>
    </row>
    <row r="16" spans="1:21" ht="16.8" customHeight="1" thickTop="1" thickBot="1" x14ac:dyDescent="0.35">
      <c r="B16" s="57" t="s">
        <v>221</v>
      </c>
      <c r="C16" s="58" t="s">
        <v>230</v>
      </c>
      <c r="D16" s="693"/>
      <c r="E16" s="693"/>
      <c r="F16" s="693"/>
      <c r="G16" s="675"/>
      <c r="H16" s="676"/>
      <c r="I16" s="676"/>
      <c r="J16" s="676"/>
      <c r="K16" s="677"/>
      <c r="N16" s="653" t="s">
        <v>242</v>
      </c>
      <c r="O16" s="654"/>
      <c r="P16" s="654"/>
      <c r="Q16" s="654"/>
      <c r="R16" s="654"/>
      <c r="S16" s="654"/>
      <c r="T16" s="654"/>
      <c r="U16" s="655"/>
    </row>
    <row r="17" spans="2:21" ht="16.8" thickTop="1" thickBot="1" x14ac:dyDescent="0.35">
      <c r="B17" s="177"/>
      <c r="C17" s="58"/>
      <c r="D17" s="693"/>
      <c r="E17" s="693"/>
      <c r="F17" s="693"/>
      <c r="G17" s="678"/>
      <c r="H17" s="679"/>
      <c r="I17" s="679"/>
      <c r="J17" s="679"/>
      <c r="K17" s="680"/>
      <c r="N17" s="656"/>
      <c r="O17" s="657"/>
      <c r="P17" s="657"/>
      <c r="Q17" s="657"/>
      <c r="R17" s="657"/>
      <c r="S17" s="657"/>
      <c r="T17" s="657"/>
      <c r="U17" s="658"/>
    </row>
    <row r="18" spans="2:21" ht="16.8" thickTop="1" thickBot="1" x14ac:dyDescent="0.35">
      <c r="B18" s="183"/>
      <c r="C18" s="184"/>
      <c r="D18" s="693"/>
      <c r="E18" s="693"/>
      <c r="F18" s="693"/>
      <c r="G18" s="675" t="s">
        <v>234</v>
      </c>
      <c r="H18" s="676"/>
      <c r="I18" s="676"/>
      <c r="J18" s="676"/>
      <c r="K18" s="677"/>
      <c r="N18" s="656"/>
      <c r="O18" s="657"/>
      <c r="P18" s="657"/>
      <c r="Q18" s="657"/>
      <c r="R18" s="657"/>
      <c r="S18" s="657"/>
      <c r="T18" s="657"/>
      <c r="U18" s="658"/>
    </row>
    <row r="19" spans="2:21" ht="16.8" thickTop="1" thickBot="1" x14ac:dyDescent="0.35">
      <c r="B19" s="185"/>
      <c r="C19" s="186"/>
      <c r="D19" s="693"/>
      <c r="E19" s="693"/>
      <c r="F19" s="693"/>
      <c r="G19" s="675"/>
      <c r="H19" s="676"/>
      <c r="I19" s="676"/>
      <c r="J19" s="676"/>
      <c r="K19" s="677"/>
      <c r="N19" s="656"/>
      <c r="O19" s="657"/>
      <c r="P19" s="657"/>
      <c r="Q19" s="657"/>
      <c r="R19" s="657"/>
      <c r="S19" s="657"/>
      <c r="T19" s="657"/>
      <c r="U19" s="658"/>
    </row>
    <row r="20" spans="2:21" ht="26.4" customHeight="1" thickTop="1" thickBot="1" x14ac:dyDescent="0.35">
      <c r="B20" s="69" t="s">
        <v>222</v>
      </c>
      <c r="C20" s="111" t="s">
        <v>228</v>
      </c>
      <c r="D20" s="693"/>
      <c r="E20" s="693"/>
      <c r="F20" s="693"/>
      <c r="G20" s="678"/>
      <c r="H20" s="679"/>
      <c r="I20" s="679"/>
      <c r="J20" s="679"/>
      <c r="K20" s="680"/>
      <c r="N20" s="656"/>
      <c r="O20" s="657"/>
      <c r="P20" s="657"/>
      <c r="Q20" s="657"/>
      <c r="R20" s="657"/>
      <c r="S20" s="657"/>
      <c r="T20" s="657"/>
      <c r="U20" s="658"/>
    </row>
    <row r="21" spans="2:21" ht="16.2" thickTop="1" x14ac:dyDescent="0.3">
      <c r="B21" s="608" t="s">
        <v>229</v>
      </c>
      <c r="C21" s="608" t="s">
        <v>300</v>
      </c>
      <c r="D21" s="693"/>
      <c r="E21" s="693"/>
      <c r="F21" s="693"/>
      <c r="G21" s="681" t="s">
        <v>237</v>
      </c>
      <c r="H21" s="682"/>
      <c r="I21" s="682"/>
      <c r="J21" s="682"/>
      <c r="K21" s="683"/>
      <c r="N21" s="656"/>
      <c r="O21" s="657"/>
      <c r="P21" s="657"/>
      <c r="Q21" s="657"/>
      <c r="R21" s="657"/>
      <c r="S21" s="657"/>
      <c r="T21" s="657"/>
      <c r="U21" s="658"/>
    </row>
    <row r="22" spans="2:21" ht="16.2" thickBot="1" x14ac:dyDescent="0.35">
      <c r="B22" s="615"/>
      <c r="C22" s="615"/>
      <c r="D22" s="693"/>
      <c r="E22" s="693"/>
      <c r="F22" s="693"/>
      <c r="G22" s="675"/>
      <c r="H22" s="676"/>
      <c r="I22" s="676"/>
      <c r="J22" s="676"/>
      <c r="K22" s="677"/>
      <c r="N22" s="656"/>
      <c r="O22" s="657"/>
      <c r="P22" s="657"/>
      <c r="Q22" s="657"/>
      <c r="R22" s="657"/>
      <c r="S22" s="657"/>
      <c r="T22" s="657"/>
      <c r="U22" s="658"/>
    </row>
    <row r="23" spans="2:21" ht="16.8" thickTop="1" thickBot="1" x14ac:dyDescent="0.35">
      <c r="B23" s="609"/>
      <c r="C23" s="609"/>
      <c r="D23" s="693"/>
      <c r="E23" s="693"/>
      <c r="F23" s="693"/>
      <c r="G23" s="678"/>
      <c r="H23" s="679"/>
      <c r="I23" s="679"/>
      <c r="J23" s="679"/>
      <c r="K23" s="680"/>
      <c r="N23" s="653" t="s">
        <v>243</v>
      </c>
      <c r="O23" s="654"/>
      <c r="P23" s="654"/>
      <c r="Q23" s="654"/>
      <c r="R23" s="654"/>
      <c r="S23" s="654"/>
      <c r="T23" s="654"/>
      <c r="U23" s="655"/>
    </row>
    <row r="24" spans="2:21" ht="16.8" thickTop="1" thickBot="1" x14ac:dyDescent="0.35">
      <c r="B24" s="247"/>
      <c r="C24" s="248"/>
      <c r="D24" s="693"/>
      <c r="E24" s="693"/>
      <c r="F24" s="693"/>
      <c r="G24" s="606" t="s">
        <v>238</v>
      </c>
      <c r="H24" s="694"/>
      <c r="I24" s="694"/>
      <c r="J24" s="694"/>
      <c r="K24" s="610"/>
      <c r="N24" s="656"/>
      <c r="O24" s="657"/>
      <c r="P24" s="657"/>
      <c r="Q24" s="657"/>
      <c r="R24" s="657"/>
      <c r="S24" s="657"/>
      <c r="T24" s="657"/>
      <c r="U24" s="658"/>
    </row>
    <row r="25" spans="2:21" ht="16.8" thickTop="1" thickBot="1" x14ac:dyDescent="0.35">
      <c r="B25" s="249"/>
      <c r="C25" s="250"/>
      <c r="D25" s="693"/>
      <c r="E25" s="693"/>
      <c r="F25" s="693"/>
      <c r="G25" s="674"/>
      <c r="H25" s="695"/>
      <c r="I25" s="695"/>
      <c r="J25" s="695"/>
      <c r="K25" s="696"/>
      <c r="N25" s="656"/>
      <c r="O25" s="657"/>
      <c r="P25" s="657"/>
      <c r="Q25" s="657"/>
      <c r="R25" s="657"/>
      <c r="S25" s="657"/>
      <c r="T25" s="657"/>
      <c r="U25" s="658"/>
    </row>
    <row r="26" spans="2:21" ht="16.8" thickTop="1" thickBot="1" x14ac:dyDescent="0.35">
      <c r="B26" s="606" t="s">
        <v>246</v>
      </c>
      <c r="C26" s="608">
        <f>7000+25000+150+12769+53000+4000+52000+500</f>
        <v>154419</v>
      </c>
      <c r="D26" s="693"/>
      <c r="E26" s="693"/>
      <c r="F26" s="693"/>
      <c r="G26" s="607"/>
      <c r="H26" s="697"/>
      <c r="I26" s="697"/>
      <c r="J26" s="697"/>
      <c r="K26" s="611"/>
      <c r="N26" s="656"/>
      <c r="O26" s="657"/>
      <c r="P26" s="657"/>
      <c r="Q26" s="657"/>
      <c r="R26" s="657"/>
      <c r="S26" s="657"/>
      <c r="T26" s="657"/>
      <c r="U26" s="658"/>
    </row>
    <row r="27" spans="2:21" ht="16.2" thickTop="1" x14ac:dyDescent="0.3">
      <c r="B27" s="674"/>
      <c r="C27" s="615"/>
      <c r="D27" s="693"/>
      <c r="E27" s="693"/>
      <c r="F27" s="693"/>
      <c r="G27" s="656" t="s">
        <v>239</v>
      </c>
      <c r="H27" s="657"/>
      <c r="I27" s="657"/>
      <c r="J27" s="657"/>
      <c r="K27" s="658"/>
      <c r="N27" s="656"/>
      <c r="O27" s="657"/>
      <c r="P27" s="657"/>
      <c r="Q27" s="657"/>
      <c r="R27" s="657"/>
      <c r="S27" s="657"/>
      <c r="T27" s="657"/>
      <c r="U27" s="658"/>
    </row>
    <row r="28" spans="2:21" x14ac:dyDescent="0.3">
      <c r="B28" s="674"/>
      <c r="C28" s="615"/>
      <c r="D28" s="693"/>
      <c r="E28" s="693"/>
      <c r="F28" s="693"/>
      <c r="G28" s="656"/>
      <c r="H28" s="657"/>
      <c r="I28" s="657"/>
      <c r="J28" s="657"/>
      <c r="K28" s="658"/>
      <c r="N28" s="656"/>
      <c r="O28" s="657"/>
      <c r="P28" s="657"/>
      <c r="Q28" s="657"/>
      <c r="R28" s="657"/>
      <c r="S28" s="657"/>
      <c r="T28" s="657"/>
      <c r="U28" s="658"/>
    </row>
    <row r="29" spans="2:21" ht="16.2" thickBot="1" x14ac:dyDescent="0.35">
      <c r="B29" s="607"/>
      <c r="C29" s="609"/>
      <c r="D29" s="693"/>
      <c r="E29" s="693"/>
      <c r="F29" s="693"/>
      <c r="G29" s="659"/>
      <c r="H29" s="660"/>
      <c r="I29" s="660"/>
      <c r="J29" s="660"/>
      <c r="K29" s="661"/>
      <c r="L29" s="182"/>
      <c r="M29" s="182"/>
      <c r="N29" s="659"/>
      <c r="O29" s="660"/>
      <c r="P29" s="660"/>
      <c r="Q29" s="660"/>
      <c r="R29" s="660"/>
      <c r="S29" s="660"/>
      <c r="T29" s="660"/>
      <c r="U29" s="661"/>
    </row>
    <row r="30" spans="2:21" ht="16.8" thickTop="1" thickBot="1" x14ac:dyDescent="0.35">
      <c r="B30" s="191"/>
      <c r="C30" s="360"/>
    </row>
    <row r="31" spans="2:21" ht="31.2" customHeight="1" thickTop="1" thickBot="1" x14ac:dyDescent="0.35">
      <c r="B31" s="361" t="s">
        <v>305</v>
      </c>
      <c r="C31" s="362">
        <f>173000-C26</f>
        <v>18581</v>
      </c>
    </row>
    <row r="32" spans="2:21" ht="16.2" thickTop="1" x14ac:dyDescent="0.3"/>
    <row r="33" spans="2:3" ht="16.2" thickBot="1" x14ac:dyDescent="0.35"/>
    <row r="34" spans="2:3" ht="81" customHeight="1" thickTop="1" thickBot="1" x14ac:dyDescent="0.35">
      <c r="B34" s="369" t="s">
        <v>59</v>
      </c>
      <c r="C34" s="370" t="s">
        <v>314</v>
      </c>
    </row>
    <row r="35" spans="2:3" ht="16.2" thickTop="1" x14ac:dyDescent="0.3"/>
  </sheetData>
  <mergeCells count="19">
    <mergeCell ref="B26:B29"/>
    <mergeCell ref="G2:U3"/>
    <mergeCell ref="D2:F29"/>
    <mergeCell ref="C26:C29"/>
    <mergeCell ref="G24:K26"/>
    <mergeCell ref="G6:U7"/>
    <mergeCell ref="G27:K29"/>
    <mergeCell ref="N8:U10"/>
    <mergeCell ref="N11:U15"/>
    <mergeCell ref="N23:U29"/>
    <mergeCell ref="N16:U22"/>
    <mergeCell ref="G8:K10"/>
    <mergeCell ref="G11:K14"/>
    <mergeCell ref="G15:K17"/>
    <mergeCell ref="G18:K20"/>
    <mergeCell ref="G21:K23"/>
    <mergeCell ref="C21:C23"/>
    <mergeCell ref="B21:B23"/>
    <mergeCell ref="G5:U5"/>
  </mergeCells>
  <pageMargins left="0.7" right="0.7" top="0.75" bottom="0.75" header="0.3" footer="0.3"/>
  <pageSetup scale="26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118D-8160-4EA7-A964-BE9096ED33FD}">
  <sheetPr>
    <pageSetUpPr fitToPage="1"/>
  </sheetPr>
  <dimension ref="A1:N41"/>
  <sheetViews>
    <sheetView topLeftCell="B12" zoomScale="62" workbookViewId="0">
      <selection activeCell="C45" sqref="C45"/>
    </sheetView>
  </sheetViews>
  <sheetFormatPr defaultRowHeight="14.4" x14ac:dyDescent="0.3"/>
  <cols>
    <col min="1" max="1" width="59.44140625" bestFit="1" customWidth="1"/>
    <col min="2" max="2" width="77.109375" customWidth="1"/>
    <col min="3" max="3" width="84.33203125" customWidth="1"/>
    <col min="4" max="4" width="8.88671875" customWidth="1"/>
    <col min="5" max="5" width="22.44140625" bestFit="1" customWidth="1"/>
    <col min="6" max="6" width="20.77734375" bestFit="1" customWidth="1"/>
    <col min="7" max="7" width="20.6640625" bestFit="1" customWidth="1"/>
    <col min="8" max="8" width="20.77734375" bestFit="1" customWidth="1"/>
    <col min="9" max="9" width="19.33203125" bestFit="1" customWidth="1"/>
    <col min="10" max="10" width="9.21875" bestFit="1" customWidth="1"/>
    <col min="11" max="11" width="16.77734375" customWidth="1"/>
    <col min="13" max="13" width="20.109375" customWidth="1"/>
  </cols>
  <sheetData>
    <row r="1" spans="1:14" ht="37.200000000000003" customHeight="1" thickBot="1" x14ac:dyDescent="0.35">
      <c r="A1" s="153" t="s">
        <v>149</v>
      </c>
    </row>
    <row r="2" spans="1:14" ht="16.8" thickTop="1" thickBot="1" x14ac:dyDescent="0.35">
      <c r="B2" s="77"/>
      <c r="C2" s="77"/>
      <c r="E2" s="147"/>
      <c r="F2" s="146"/>
      <c r="G2" s="146"/>
      <c r="H2" s="146"/>
      <c r="I2" s="146"/>
      <c r="J2" s="146"/>
      <c r="K2" s="146"/>
      <c r="L2" s="146"/>
      <c r="M2" s="148"/>
    </row>
    <row r="3" spans="1:14" ht="23.4" customHeight="1" thickTop="1" thickBot="1" x14ac:dyDescent="0.35">
      <c r="A3" t="s">
        <v>151</v>
      </c>
      <c r="B3" s="168" t="s">
        <v>31</v>
      </c>
      <c r="C3" s="169" t="s">
        <v>150</v>
      </c>
      <c r="E3" s="710" t="s">
        <v>174</v>
      </c>
      <c r="F3" s="460"/>
      <c r="G3" s="460"/>
      <c r="H3" s="460"/>
      <c r="I3" s="460"/>
      <c r="J3" s="460"/>
      <c r="K3" s="460"/>
      <c r="L3" s="460"/>
      <c r="M3" s="711"/>
    </row>
    <row r="4" spans="1:14" ht="23.4" customHeight="1" thickTop="1" thickBot="1" x14ac:dyDescent="0.35">
      <c r="B4" s="65" t="s">
        <v>5</v>
      </c>
      <c r="C4" s="56">
        <v>32</v>
      </c>
      <c r="E4" s="712" t="s">
        <v>175</v>
      </c>
      <c r="F4" s="713"/>
      <c r="G4" s="713"/>
      <c r="H4" s="713"/>
      <c r="I4" s="714"/>
      <c r="J4" s="715"/>
      <c r="K4" s="716"/>
      <c r="L4" s="716"/>
      <c r="M4" s="717"/>
    </row>
    <row r="5" spans="1:14" ht="23.4" customHeight="1" thickTop="1" thickBot="1" x14ac:dyDescent="0.35">
      <c r="B5" s="62" t="s">
        <v>152</v>
      </c>
      <c r="C5" s="53">
        <v>87.5</v>
      </c>
      <c r="E5" s="675"/>
      <c r="F5" s="676"/>
      <c r="G5" s="676"/>
      <c r="H5" s="676"/>
      <c r="I5" s="677"/>
      <c r="J5" s="718"/>
      <c r="K5" s="693"/>
      <c r="L5" s="693"/>
      <c r="M5" s="719"/>
    </row>
    <row r="6" spans="1:14" ht="23.4" customHeight="1" thickTop="1" thickBot="1" x14ac:dyDescent="0.35">
      <c r="B6" s="65" t="s">
        <v>153</v>
      </c>
      <c r="C6" s="179">
        <f>ROUNDUP(7.6,0)</f>
        <v>8</v>
      </c>
      <c r="E6" s="681" t="s">
        <v>176</v>
      </c>
      <c r="F6" s="682"/>
      <c r="G6" s="682"/>
      <c r="H6" s="682"/>
      <c r="I6" s="683"/>
      <c r="J6" s="720">
        <v>13500</v>
      </c>
      <c r="K6" s="721"/>
      <c r="L6" s="721"/>
      <c r="M6" s="722"/>
    </row>
    <row r="7" spans="1:14" ht="23.4" customHeight="1" thickTop="1" thickBot="1" x14ac:dyDescent="0.35">
      <c r="A7" s="154" t="s">
        <v>161</v>
      </c>
      <c r="B7" s="114" t="s">
        <v>66</v>
      </c>
      <c r="C7" s="180">
        <f>SUM(C4:C6)</f>
        <v>127.5</v>
      </c>
      <c r="E7" s="675" t="s">
        <v>177</v>
      </c>
      <c r="F7" s="676"/>
      <c r="G7" s="676"/>
      <c r="H7" s="676"/>
      <c r="I7" s="677"/>
      <c r="J7" s="675">
        <v>10</v>
      </c>
      <c r="K7" s="676"/>
      <c r="L7" s="676"/>
      <c r="M7" s="677"/>
    </row>
    <row r="8" spans="1:14" ht="23.4" customHeight="1" thickTop="1" thickBot="1" x14ac:dyDescent="0.35">
      <c r="B8" s="65" t="s">
        <v>154</v>
      </c>
      <c r="C8" s="56" t="s">
        <v>155</v>
      </c>
      <c r="E8" s="678" t="s">
        <v>178</v>
      </c>
      <c r="F8" s="679"/>
      <c r="G8" s="679"/>
      <c r="H8" s="679"/>
      <c r="I8" s="680"/>
      <c r="J8" s="723">
        <f>J6*J7</f>
        <v>135000</v>
      </c>
      <c r="K8" s="724"/>
      <c r="L8" s="724"/>
      <c r="M8" s="725"/>
    </row>
    <row r="9" spans="1:14" ht="23.4" customHeight="1" thickTop="1" thickBot="1" x14ac:dyDescent="0.35">
      <c r="B9" s="114"/>
      <c r="C9" s="180"/>
      <c r="E9" s="675"/>
      <c r="F9" s="676"/>
      <c r="G9" s="676"/>
      <c r="H9" s="676"/>
      <c r="I9" s="677"/>
      <c r="J9" s="675"/>
      <c r="K9" s="676"/>
      <c r="L9" s="676"/>
      <c r="M9" s="677"/>
    </row>
    <row r="10" spans="1:14" ht="23.4" customHeight="1" thickTop="1" thickBot="1" x14ac:dyDescent="0.35">
      <c r="B10" s="65" t="s">
        <v>156</v>
      </c>
      <c r="C10" s="56">
        <f>C7/7</f>
        <v>18.214285714285715</v>
      </c>
      <c r="E10" s="681" t="s">
        <v>180</v>
      </c>
      <c r="F10" s="682"/>
      <c r="G10" s="682"/>
      <c r="H10" s="682"/>
      <c r="I10" s="683"/>
      <c r="J10" s="720">
        <v>955</v>
      </c>
      <c r="K10" s="721"/>
      <c r="L10" s="721"/>
      <c r="M10" s="722"/>
    </row>
    <row r="11" spans="1:14" ht="23.4" customHeight="1" thickTop="1" thickBot="1" x14ac:dyDescent="0.35">
      <c r="B11" s="66" t="s">
        <v>157</v>
      </c>
      <c r="C11" s="58">
        <f>C10/15 + 1</f>
        <v>2.2142857142857144</v>
      </c>
      <c r="E11" s="675" t="s">
        <v>181</v>
      </c>
      <c r="F11" s="676"/>
      <c r="G11" s="676"/>
      <c r="H11" s="676"/>
      <c r="I11" s="677"/>
      <c r="J11" s="675">
        <v>9</v>
      </c>
      <c r="K11" s="676"/>
      <c r="L11" s="676"/>
      <c r="M11" s="677"/>
    </row>
    <row r="12" spans="1:14" ht="23.4" customHeight="1" thickTop="1" thickBot="1" x14ac:dyDescent="0.35">
      <c r="B12" s="730" t="s">
        <v>158</v>
      </c>
      <c r="C12" s="731"/>
      <c r="E12" s="678" t="s">
        <v>182</v>
      </c>
      <c r="F12" s="679"/>
      <c r="G12" s="679"/>
      <c r="H12" s="679"/>
      <c r="I12" s="680"/>
      <c r="J12" s="723">
        <f>J10*J11</f>
        <v>8595</v>
      </c>
      <c r="K12" s="724"/>
      <c r="L12" s="724"/>
      <c r="M12" s="725"/>
    </row>
    <row r="13" spans="1:14" ht="23.4" customHeight="1" thickTop="1" thickBot="1" x14ac:dyDescent="0.35">
      <c r="B13" s="172"/>
      <c r="C13" s="173"/>
      <c r="E13" s="675"/>
      <c r="F13" s="676"/>
      <c r="G13" s="676"/>
      <c r="H13" s="676"/>
      <c r="I13" s="677"/>
      <c r="J13" s="675"/>
      <c r="K13" s="676"/>
      <c r="L13" s="676"/>
      <c r="M13" s="677"/>
    </row>
    <row r="14" spans="1:14" ht="23.4" customHeight="1" thickTop="1" thickBot="1" x14ac:dyDescent="0.35">
      <c r="E14" s="681" t="s">
        <v>184</v>
      </c>
      <c r="F14" s="682"/>
      <c r="G14" s="682"/>
      <c r="H14" s="682"/>
      <c r="I14" s="683"/>
      <c r="J14" s="720">
        <v>5503</v>
      </c>
      <c r="K14" s="721"/>
      <c r="L14" s="721"/>
      <c r="M14" s="722"/>
      <c r="N14" s="174" t="s">
        <v>204</v>
      </c>
    </row>
    <row r="15" spans="1:14" ht="16.8" thickTop="1" thickBot="1" x14ac:dyDescent="0.35">
      <c r="B15" s="170" t="s">
        <v>159</v>
      </c>
      <c r="C15" s="171" t="s">
        <v>160</v>
      </c>
      <c r="E15" s="675" t="s">
        <v>185</v>
      </c>
      <c r="F15" s="676"/>
      <c r="G15" s="676"/>
      <c r="H15" s="676"/>
      <c r="I15" s="677"/>
      <c r="J15" s="675">
        <v>10</v>
      </c>
      <c r="K15" s="676"/>
      <c r="L15" s="676"/>
      <c r="M15" s="677"/>
    </row>
    <row r="16" spans="1:14" ht="16.8" thickTop="1" thickBot="1" x14ac:dyDescent="0.35">
      <c r="B16" s="159" t="s">
        <v>5</v>
      </c>
      <c r="C16" s="53">
        <v>32</v>
      </c>
      <c r="E16" s="675" t="s">
        <v>186</v>
      </c>
      <c r="F16" s="676"/>
      <c r="G16" s="676"/>
      <c r="H16" s="676"/>
      <c r="I16" s="677"/>
      <c r="J16" s="741">
        <f>J14*J15</f>
        <v>55030</v>
      </c>
      <c r="K16" s="742"/>
      <c r="L16" s="742"/>
      <c r="M16" s="743"/>
    </row>
    <row r="17" spans="2:13" ht="49.2" customHeight="1" thickTop="1" thickBot="1" x14ac:dyDescent="0.35">
      <c r="B17" s="160" t="s">
        <v>152</v>
      </c>
      <c r="C17" s="53">
        <v>87.5</v>
      </c>
      <c r="E17" s="712" t="s">
        <v>253</v>
      </c>
      <c r="F17" s="713"/>
      <c r="G17" s="713"/>
      <c r="H17" s="713"/>
      <c r="I17" s="713"/>
      <c r="J17" s="744">
        <v>90450</v>
      </c>
      <c r="K17" s="745"/>
      <c r="L17" s="745"/>
      <c r="M17" s="746"/>
    </row>
    <row r="18" spans="2:13" ht="16.8" thickTop="1" thickBot="1" x14ac:dyDescent="0.35">
      <c r="B18" s="155" t="s">
        <v>153</v>
      </c>
      <c r="C18" s="179">
        <f>ROUNDUP(7.6,0)</f>
        <v>8</v>
      </c>
      <c r="E18" s="325"/>
      <c r="F18" s="326"/>
      <c r="G18" s="326"/>
      <c r="H18" s="326"/>
      <c r="I18" s="326"/>
      <c r="J18" s="327"/>
      <c r="K18" s="328"/>
      <c r="L18" s="324" t="s">
        <v>254</v>
      </c>
      <c r="M18" s="329">
        <f>SUM(J6,J8,J10,J12,J14,J16,J17)</f>
        <v>309033</v>
      </c>
    </row>
    <row r="19" spans="2:13" ht="25.2" customHeight="1" thickTop="1" thickBot="1" x14ac:dyDescent="0.35">
      <c r="B19" s="160" t="s">
        <v>66</v>
      </c>
      <c r="C19" s="53">
        <f>SUM(C16:C18)</f>
        <v>127.5</v>
      </c>
      <c r="E19" s="738"/>
      <c r="F19" s="739"/>
      <c r="G19" s="739"/>
      <c r="H19" s="739"/>
      <c r="I19" s="739"/>
      <c r="J19" s="739"/>
      <c r="K19" s="739"/>
      <c r="L19" s="739"/>
      <c r="M19" s="740"/>
    </row>
    <row r="20" spans="2:13" ht="16.8" customHeight="1" thickTop="1" thickBot="1" x14ac:dyDescent="0.35">
      <c r="B20" s="160"/>
      <c r="C20" s="53"/>
      <c r="E20" s="732" t="s">
        <v>187</v>
      </c>
      <c r="F20" s="733"/>
      <c r="G20" s="733"/>
      <c r="H20" s="733"/>
      <c r="I20" s="733"/>
      <c r="J20" s="733"/>
      <c r="K20" s="733"/>
      <c r="L20" s="733"/>
      <c r="M20" s="733"/>
    </row>
    <row r="21" spans="2:13" ht="16.8" customHeight="1" thickTop="1" thickBot="1" x14ac:dyDescent="0.35">
      <c r="B21" s="155" t="s">
        <v>163</v>
      </c>
      <c r="C21" s="56" t="s">
        <v>172</v>
      </c>
      <c r="E21" s="734"/>
      <c r="F21" s="735"/>
      <c r="G21" s="735"/>
      <c r="H21" s="735"/>
      <c r="I21" s="735"/>
      <c r="J21" s="735"/>
      <c r="K21" s="735"/>
      <c r="L21" s="735"/>
      <c r="M21" s="735"/>
    </row>
    <row r="22" spans="2:13" ht="16.8" customHeight="1" thickTop="1" thickBot="1" x14ac:dyDescent="0.35">
      <c r="B22" s="161"/>
      <c r="C22" s="58"/>
      <c r="E22" s="736"/>
      <c r="F22" s="737"/>
      <c r="G22" s="737"/>
      <c r="H22" s="737"/>
      <c r="I22" s="737"/>
      <c r="J22" s="737"/>
      <c r="K22" s="737"/>
      <c r="L22" s="737"/>
      <c r="M22" s="737"/>
    </row>
    <row r="23" spans="2:13" ht="16.8" thickTop="1" thickBot="1" x14ac:dyDescent="0.35">
      <c r="B23" s="155" t="s">
        <v>162</v>
      </c>
      <c r="C23" s="56">
        <f>C19/20</f>
        <v>6.375</v>
      </c>
      <c r="E23" s="502" t="s">
        <v>188</v>
      </c>
      <c r="F23" s="504"/>
      <c r="G23" s="64" t="s">
        <v>190</v>
      </c>
      <c r="H23" s="118" t="s">
        <v>189</v>
      </c>
      <c r="I23" s="63" t="s">
        <v>193</v>
      </c>
      <c r="J23" s="110"/>
      <c r="K23" s="52" t="s">
        <v>197</v>
      </c>
      <c r="L23" s="749"/>
      <c r="M23" s="627"/>
    </row>
    <row r="24" spans="2:13" ht="16.8" thickTop="1" thickBot="1" x14ac:dyDescent="0.35">
      <c r="B24" s="728" t="s">
        <v>173</v>
      </c>
      <c r="C24" s="729"/>
      <c r="E24" s="747"/>
      <c r="F24" s="748"/>
      <c r="G24" s="68" t="s">
        <v>191</v>
      </c>
      <c r="H24" s="67" t="s">
        <v>192</v>
      </c>
      <c r="I24" s="66" t="s">
        <v>194</v>
      </c>
      <c r="J24" s="66"/>
      <c r="K24" s="67"/>
      <c r="L24" s="644"/>
      <c r="M24" s="646"/>
    </row>
    <row r="25" spans="2:13" ht="16.8" thickTop="1" thickBot="1" x14ac:dyDescent="0.35">
      <c r="E25" s="505"/>
      <c r="F25" s="507"/>
      <c r="G25" s="77"/>
      <c r="H25" s="63"/>
      <c r="I25" s="111"/>
      <c r="J25" s="63"/>
      <c r="K25" s="77"/>
      <c r="L25" s="607"/>
      <c r="M25" s="611"/>
    </row>
    <row r="26" spans="2:13" ht="16.8" thickTop="1" thickBot="1" x14ac:dyDescent="0.35">
      <c r="E26" s="502" t="s">
        <v>179</v>
      </c>
      <c r="F26" s="504"/>
      <c r="G26" s="608" t="s">
        <v>148</v>
      </c>
      <c r="H26" s="608" t="s">
        <v>195</v>
      </c>
      <c r="I26" s="608">
        <v>1</v>
      </c>
      <c r="J26" s="608" t="s">
        <v>196</v>
      </c>
      <c r="K26" s="118" t="s">
        <v>197</v>
      </c>
      <c r="L26" s="606" t="s">
        <v>202</v>
      </c>
      <c r="M26" s="610"/>
    </row>
    <row r="27" spans="2:13" ht="16.8" thickTop="1" thickBot="1" x14ac:dyDescent="0.35">
      <c r="B27" s="76" t="s">
        <v>164</v>
      </c>
      <c r="C27" s="163"/>
      <c r="E27" s="747"/>
      <c r="F27" s="748"/>
      <c r="G27" s="609"/>
      <c r="H27" s="609"/>
      <c r="I27" s="609"/>
      <c r="J27" s="609"/>
      <c r="K27" s="67">
        <v>1</v>
      </c>
      <c r="L27" s="607"/>
      <c r="M27" s="611"/>
    </row>
    <row r="28" spans="2:13" ht="16.8" thickTop="1" thickBot="1" x14ac:dyDescent="0.35">
      <c r="B28" s="63" t="s">
        <v>165</v>
      </c>
      <c r="C28" s="54" t="s">
        <v>166</v>
      </c>
      <c r="E28" s="747"/>
      <c r="F28" s="748"/>
      <c r="G28" s="245" t="s">
        <v>198</v>
      </c>
      <c r="H28" s="70" t="s">
        <v>199</v>
      </c>
      <c r="I28" s="70" t="s">
        <v>200</v>
      </c>
      <c r="J28" s="70">
        <v>238</v>
      </c>
      <c r="K28" s="245" t="s">
        <v>201</v>
      </c>
      <c r="L28" s="674" t="s">
        <v>203</v>
      </c>
      <c r="M28" s="696"/>
    </row>
    <row r="29" spans="2:13" ht="16.8" thickTop="1" thickBot="1" x14ac:dyDescent="0.35">
      <c r="B29" s="66" t="s">
        <v>167</v>
      </c>
      <c r="C29" s="94" t="s">
        <v>170</v>
      </c>
      <c r="E29" s="505"/>
      <c r="F29" s="507"/>
      <c r="G29" s="77"/>
      <c r="H29" s="111"/>
      <c r="I29" s="70"/>
      <c r="J29" s="111"/>
      <c r="K29" s="77"/>
      <c r="L29" s="644"/>
      <c r="M29" s="646"/>
    </row>
    <row r="30" spans="2:13" ht="16.8" thickTop="1" thickBot="1" x14ac:dyDescent="0.35">
      <c r="B30" s="70" t="s">
        <v>168</v>
      </c>
      <c r="C30" s="82">
        <v>127.5</v>
      </c>
      <c r="E30" s="502" t="s">
        <v>183</v>
      </c>
      <c r="F30" s="504"/>
      <c r="G30" s="118" t="s">
        <v>189</v>
      </c>
      <c r="H30" s="66" t="s">
        <v>206</v>
      </c>
      <c r="I30" s="63" t="s">
        <v>208</v>
      </c>
      <c r="J30" s="66" t="s">
        <v>210</v>
      </c>
      <c r="K30" s="118"/>
      <c r="L30" s="607"/>
      <c r="M30" s="611"/>
    </row>
    <row r="31" spans="2:13" ht="16.8" thickTop="1" thickBot="1" x14ac:dyDescent="0.35">
      <c r="B31" s="111" t="s">
        <v>169</v>
      </c>
      <c r="C31" s="81">
        <f>C30/15</f>
        <v>8.5</v>
      </c>
      <c r="E31" s="747"/>
      <c r="F31" s="748"/>
      <c r="G31" s="68" t="s">
        <v>205</v>
      </c>
      <c r="H31" s="66" t="s">
        <v>207</v>
      </c>
      <c r="I31" s="66" t="s">
        <v>209</v>
      </c>
      <c r="J31" s="67" t="s">
        <v>211</v>
      </c>
      <c r="K31" s="65"/>
      <c r="L31" s="606"/>
      <c r="M31" s="610"/>
    </row>
    <row r="32" spans="2:13" ht="16.8" thickTop="1" thickBot="1" x14ac:dyDescent="0.35">
      <c r="B32" s="162"/>
      <c r="C32" s="156"/>
      <c r="E32" s="505"/>
      <c r="F32" s="507"/>
      <c r="G32" s="82"/>
      <c r="H32" s="58"/>
      <c r="I32" s="58"/>
      <c r="J32" s="95"/>
      <c r="K32" s="57"/>
      <c r="L32" s="650"/>
      <c r="M32" s="652"/>
    </row>
    <row r="33" spans="2:3" ht="16.8" thickTop="1" thickBot="1" x14ac:dyDescent="0.35">
      <c r="B33" s="726" t="s">
        <v>171</v>
      </c>
      <c r="C33" s="727"/>
    </row>
    <row r="34" spans="2:3" ht="15" thickTop="1" x14ac:dyDescent="0.3"/>
    <row r="35" spans="2:3" ht="15" thickBot="1" x14ac:dyDescent="0.35"/>
    <row r="36" spans="2:3" ht="20.399999999999999" customHeight="1" thickTop="1" thickBot="1" x14ac:dyDescent="0.35">
      <c r="B36" s="76" t="s">
        <v>249</v>
      </c>
      <c r="C36" s="251"/>
    </row>
    <row r="37" spans="2:3" ht="16.8" thickTop="1" thickBot="1" x14ac:dyDescent="0.35">
      <c r="B37" s="191" t="s">
        <v>250</v>
      </c>
    </row>
    <row r="38" spans="2:3" ht="16.8" thickTop="1" thickBot="1" x14ac:dyDescent="0.35">
      <c r="B38" s="177" t="s">
        <v>251</v>
      </c>
      <c r="C38" s="177">
        <v>201</v>
      </c>
    </row>
    <row r="39" spans="2:3" ht="16.8" thickTop="1" thickBot="1" x14ac:dyDescent="0.35">
      <c r="B39" s="190" t="s">
        <v>252</v>
      </c>
      <c r="C39" s="252">
        <v>450</v>
      </c>
    </row>
    <row r="40" spans="2:3" ht="16.8" thickTop="1" thickBot="1" x14ac:dyDescent="0.35">
      <c r="B40" s="177" t="s">
        <v>132</v>
      </c>
      <c r="C40" s="253">
        <f>C39*C38</f>
        <v>90450</v>
      </c>
    </row>
    <row r="41" spans="2:3" ht="15" thickTop="1" x14ac:dyDescent="0.3"/>
  </sheetData>
  <mergeCells count="50">
    <mergeCell ref="L32:M32"/>
    <mergeCell ref="G26:G27"/>
    <mergeCell ref="H26:H27"/>
    <mergeCell ref="I26:I27"/>
    <mergeCell ref="J26:J27"/>
    <mergeCell ref="L26:M27"/>
    <mergeCell ref="L28:M28"/>
    <mergeCell ref="L29:M29"/>
    <mergeCell ref="L30:M30"/>
    <mergeCell ref="L31:M31"/>
    <mergeCell ref="E26:F29"/>
    <mergeCell ref="E23:F25"/>
    <mergeCell ref="L23:M23"/>
    <mergeCell ref="L24:M24"/>
    <mergeCell ref="L25:M25"/>
    <mergeCell ref="J10:M10"/>
    <mergeCell ref="J11:M11"/>
    <mergeCell ref="J12:M12"/>
    <mergeCell ref="E9:I9"/>
    <mergeCell ref="E10:I10"/>
    <mergeCell ref="E11:I11"/>
    <mergeCell ref="E12:I12"/>
    <mergeCell ref="J9:M9"/>
    <mergeCell ref="E13:I13"/>
    <mergeCell ref="E14:I14"/>
    <mergeCell ref="B33:C33"/>
    <mergeCell ref="B24:C24"/>
    <mergeCell ref="B12:C12"/>
    <mergeCell ref="E20:M22"/>
    <mergeCell ref="E19:M19"/>
    <mergeCell ref="J13:M13"/>
    <mergeCell ref="J14:M14"/>
    <mergeCell ref="J15:M15"/>
    <mergeCell ref="J16:M16"/>
    <mergeCell ref="J17:M17"/>
    <mergeCell ref="E15:I15"/>
    <mergeCell ref="E16:I16"/>
    <mergeCell ref="E17:I17"/>
    <mergeCell ref="E30:F32"/>
    <mergeCell ref="E8:I8"/>
    <mergeCell ref="E3:M3"/>
    <mergeCell ref="E4:I4"/>
    <mergeCell ref="E5:I5"/>
    <mergeCell ref="E6:I6"/>
    <mergeCell ref="E7:I7"/>
    <mergeCell ref="J4:M4"/>
    <mergeCell ref="J5:M5"/>
    <mergeCell ref="J6:M6"/>
    <mergeCell ref="J7:M7"/>
    <mergeCell ref="J8:M8"/>
  </mergeCells>
  <pageMargins left="0.7" right="0.7" top="0.75" bottom="0.75" header="0.3" footer="0.3"/>
  <pageSetup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SUMMARY FOR AVG &amp; PEAK DAY</vt:lpstr>
      <vt:lpstr>PRODUCT FLOW (V.V CASE STUDY)</vt:lpstr>
      <vt:lpstr>PRODUCT FLOW WITHIN WAREHOUSE</vt:lpstr>
      <vt:lpstr>DOCK DOOR CALCULATIONS</vt:lpstr>
      <vt:lpstr>MANUFACTURING</vt:lpstr>
      <vt:lpstr>DETAILED LABOR PLAN</vt:lpstr>
      <vt:lpstr>PRICE TICKETS</vt:lpstr>
      <vt:lpstr>SPACE UTILISATION</vt:lpstr>
      <vt:lpstr>MHE </vt:lpstr>
      <vt:lpstr>PROPOSED TECHNOLOGY</vt:lpstr>
      <vt:lpstr>SUGGESTED LAYOUT </vt:lpstr>
      <vt:lpstr>IMPLEMENTATION PLAN </vt:lpstr>
      <vt:lpstr>WAREHOUSE PERFORMANCE INDICATOR</vt:lpstr>
      <vt:lpstr>MAXIMUM CAPACITY OF FACILITY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SHARMA</dc:creator>
  <cp:lastModifiedBy>JATIN SHARMA</cp:lastModifiedBy>
  <cp:lastPrinted>2023-11-28T21:19:29Z</cp:lastPrinted>
  <dcterms:created xsi:type="dcterms:W3CDTF">2023-11-25T06:28:12Z</dcterms:created>
  <dcterms:modified xsi:type="dcterms:W3CDTF">2023-11-28T22:50:46Z</dcterms:modified>
</cp:coreProperties>
</file>