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flow" sheetId="1" r:id="rId4"/>
    <sheet state="visible" name="NPV" sheetId="2" r:id="rId5"/>
    <sheet state="visible" name="IRR" sheetId="3" r:id="rId6"/>
    <sheet state="visible" name="Payback" sheetId="4" r:id="rId7"/>
    <sheet state="visible" name="ROI" sheetId="5" r:id="rId8"/>
    <sheet state="visible" name="What-if" sheetId="6" r:id="rId9"/>
  </sheets>
  <definedNames/>
  <calcPr/>
  <extLst>
    <ext uri="GoogleSheetsCustomDataVersion1">
      <go:sheetsCustomData xmlns:go="http://customooxmlschemas.google.com/" r:id="rId10" roundtripDataSignature="AMtx7mhA+0K+yyrtXZDqoHmk55LNI8dwuA=="/>
    </ext>
  </extLst>
</workbook>
</file>

<file path=xl/sharedStrings.xml><?xml version="1.0" encoding="utf-8"?>
<sst xmlns="http://schemas.openxmlformats.org/spreadsheetml/2006/main" count="204" uniqueCount="102">
  <si>
    <t>Cashflow</t>
  </si>
  <si>
    <t>Years</t>
  </si>
  <si>
    <t>Project</t>
  </si>
  <si>
    <t>Investments</t>
  </si>
  <si>
    <t>1Q (1st Year)</t>
  </si>
  <si>
    <t>2Q (1st Year)</t>
  </si>
  <si>
    <t>3Q(1st Year)</t>
  </si>
  <si>
    <t>4Q(1st Year)</t>
  </si>
  <si>
    <t>1Q (2nd Year)</t>
  </si>
  <si>
    <t>2Q (2nd Year)</t>
  </si>
  <si>
    <t>3Q(2nd Year)</t>
  </si>
  <si>
    <t>4Q(2nd Year)</t>
  </si>
  <si>
    <t>1Q (3rd Year)</t>
  </si>
  <si>
    <t>2Q (3rd Year)</t>
  </si>
  <si>
    <t>3Q(3rd Year)</t>
  </si>
  <si>
    <t>4Q(3rd Year)</t>
  </si>
  <si>
    <t>1Q (4th Year)</t>
  </si>
  <si>
    <t>2Q (4th Year)</t>
  </si>
  <si>
    <t>3Q(4th Year)</t>
  </si>
  <si>
    <t>4Q(4th Year)</t>
  </si>
  <si>
    <t>MAYO (pharma magazine)</t>
  </si>
  <si>
    <t>Nutris (supplement store contract)</t>
  </si>
  <si>
    <t>KERN (pharma company 1)</t>
  </si>
  <si>
    <t>Ferrer (pharma company 2)</t>
  </si>
  <si>
    <t>Farmaciasdirect (online pharmacy)</t>
  </si>
  <si>
    <t>Sanitas Insurance contract</t>
  </si>
  <si>
    <t>Number of new users</t>
  </si>
  <si>
    <t>Number of free users</t>
  </si>
  <si>
    <t>Number of premuim new users</t>
  </si>
  <si>
    <t>Number of premuim total users</t>
  </si>
  <si>
    <t>Price per user (for premium version annualy)</t>
  </si>
  <si>
    <t>Income from premium full version</t>
  </si>
  <si>
    <t>Total Income</t>
  </si>
  <si>
    <t>Ads in medical web pages</t>
  </si>
  <si>
    <t>Ads in social media</t>
  </si>
  <si>
    <t>Commercial employees</t>
  </si>
  <si>
    <t>Commercial employee salary</t>
  </si>
  <si>
    <t>Marketing employees</t>
  </si>
  <si>
    <t>Marketing employee salary</t>
  </si>
  <si>
    <t>Development and administration employees</t>
  </si>
  <si>
    <t>Development and administration salaries(our salaries)</t>
  </si>
  <si>
    <t>Commercial employees(In new country(USA))</t>
  </si>
  <si>
    <t>Commercial employee salary(In new country(USA))</t>
  </si>
  <si>
    <t>Marketing employees(In new country(USA))</t>
  </si>
  <si>
    <t>Marketing employee salary(In new country(USA))</t>
  </si>
  <si>
    <t>Development and administration employees(In new country(USA))</t>
  </si>
  <si>
    <t>Development and administration salaries(In new country(USA))</t>
  </si>
  <si>
    <t>Android app server (for USA app)</t>
  </si>
  <si>
    <t>Android app server</t>
  </si>
  <si>
    <t>Partners profit</t>
  </si>
  <si>
    <t>Total Costs</t>
  </si>
  <si>
    <t>Income</t>
  </si>
  <si>
    <t>Year 0</t>
  </si>
  <si>
    <t>Year 1</t>
  </si>
  <si>
    <t>Year 2</t>
  </si>
  <si>
    <t>Year 3</t>
  </si>
  <si>
    <t>Year 4</t>
  </si>
  <si>
    <t>NPV</t>
  </si>
  <si>
    <t>Investment</t>
  </si>
  <si>
    <t>Premium full version</t>
  </si>
  <si>
    <t>Contracts</t>
  </si>
  <si>
    <t>Costs</t>
  </si>
  <si>
    <t>Ads</t>
  </si>
  <si>
    <t>Salaries</t>
  </si>
  <si>
    <t>Servers</t>
  </si>
  <si>
    <t>Net Present Value (NPV)</t>
  </si>
  <si>
    <t>% Interest</t>
  </si>
  <si>
    <t>Analysis</t>
  </si>
  <si>
    <t>Total</t>
  </si>
  <si>
    <t>NPV &gt; 0</t>
  </si>
  <si>
    <t>Invest</t>
  </si>
  <si>
    <t>Project  Medictionary</t>
  </si>
  <si>
    <t>NPV = 0</t>
  </si>
  <si>
    <t>Indifferent</t>
  </si>
  <si>
    <t>NPV &lt; 0</t>
  </si>
  <si>
    <t>To not invest</t>
  </si>
  <si>
    <t>Internal Rate of Return (IRR)</t>
  </si>
  <si>
    <t>IRR</t>
  </si>
  <si>
    <t>IRR &gt; Int. Rate</t>
  </si>
  <si>
    <t>IRR = Int. Rate</t>
  </si>
  <si>
    <t>Payback</t>
  </si>
  <si>
    <t>Project Medictionary</t>
  </si>
  <si>
    <t>Months</t>
  </si>
  <si>
    <t>Return on Investment (ROI)</t>
  </si>
  <si>
    <t>Net Income</t>
  </si>
  <si>
    <t>ROI</t>
  </si>
  <si>
    <t>What-if Scenarios</t>
  </si>
  <si>
    <t>Scenarios (first year example)</t>
  </si>
  <si>
    <t>Scenarios (Second year example)</t>
  </si>
  <si>
    <t>Data</t>
  </si>
  <si>
    <t>Pessimistic</t>
  </si>
  <si>
    <t>Normal</t>
  </si>
  <si>
    <t>Optimistic</t>
  </si>
  <si>
    <t>Number of users</t>
  </si>
  <si>
    <t>Number of premium users</t>
  </si>
  <si>
    <t>Price</t>
  </si>
  <si>
    <t>Fixed</t>
  </si>
  <si>
    <t>Variable</t>
  </si>
  <si>
    <t>Benefit</t>
  </si>
  <si>
    <t>Cost per user Rate</t>
  </si>
  <si>
    <t>Scenarios (Third year example)</t>
  </si>
  <si>
    <t>Scenarios (fourth year example)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</si>
</sst>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\ &quot;€&quot;_-;\-* #,##0.00\ &quot;€&quot;_-;_-* &quot;-&quot;??\ &quot;€&quot;_-;_-@"/>
    <numFmt numFmtId="165" formatCode="#,##0&quot;€&quot;"/>
    <numFmt numFmtId="166" formatCode="_-* #,##0.00_-;\-* #,##0.00_-;_-* &quot;-&quot;??_-;_-@"/>
    <numFmt numFmtId="167" formatCode="_-* #,##0_-;\-* #,##0_-;_-* &quot;-&quot;??_-;_-@"/>
  </numFmts>
  <fonts count="15">
    <font>
      <sz val="11.0"/>
      <color theme="1"/>
      <name val="Arial"/>
    </font>
    <font>
      <sz val="11.0"/>
      <color rgb="FFFFFFFF"/>
      <name val="Calibri"/>
    </font>
    <font>
      <sz val="11.0"/>
      <color theme="0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Docs-Calibri"/>
    </font>
    <font>
      <b/>
      <color theme="1"/>
      <name val="Calibri"/>
    </font>
    <font>
      <sz val="11.0"/>
      <color theme="1"/>
    </font>
    <font>
      <b/>
      <sz val="11.0"/>
      <color theme="1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9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0" fontId="3" numFmtId="0" xfId="0" applyAlignment="1" applyFont="1">
      <alignment readingOrder="0"/>
    </xf>
    <xf borderId="2" fillId="3" fontId="4" numFmtId="0" xfId="0" applyBorder="1" applyFill="1" applyFont="1"/>
    <xf borderId="3" fillId="3" fontId="4" numFmtId="0" xfId="0" applyBorder="1" applyFont="1"/>
    <xf borderId="4" fillId="3" fontId="5" numFmtId="0" xfId="0" applyAlignment="1" applyBorder="1" applyFont="1">
      <alignment horizontal="center"/>
    </xf>
    <xf borderId="5" fillId="0" fontId="6" numFmtId="0" xfId="0" applyBorder="1" applyFont="1"/>
    <xf borderId="3" fillId="0" fontId="6" numFmtId="0" xfId="0" applyBorder="1" applyFont="1"/>
    <xf borderId="6" fillId="4" fontId="7" numFmtId="0" xfId="0" applyAlignment="1" applyBorder="1" applyFill="1" applyFont="1">
      <alignment horizontal="left"/>
    </xf>
    <xf borderId="7" fillId="4" fontId="7" numFmtId="0" xfId="0" applyAlignment="1" applyBorder="1" applyFont="1">
      <alignment horizontal="left" readingOrder="0"/>
    </xf>
    <xf borderId="8" fillId="4" fontId="7" numFmtId="0" xfId="0" applyAlignment="1" applyBorder="1" applyFont="1">
      <alignment horizontal="center"/>
    </xf>
    <xf borderId="8" fillId="4" fontId="7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left" readingOrder="0"/>
    </xf>
    <xf borderId="7" fillId="0" fontId="0" numFmtId="0" xfId="0" applyAlignment="1" applyBorder="1" applyFont="1">
      <alignment horizontal="left" readingOrder="0"/>
    </xf>
    <xf borderId="8" fillId="0" fontId="4" numFmtId="164" xfId="0" applyAlignment="1" applyBorder="1" applyFont="1" applyNumberForma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3" numFmtId="0" xfId="0" applyFont="1"/>
    <xf borderId="0" fillId="5" fontId="8" numFmtId="0" xfId="0" applyAlignment="1" applyFill="1" applyFont="1">
      <alignment horizontal="left" readingOrder="0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8" fillId="0" fontId="4" numFmtId="164" xfId="0" applyBorder="1" applyFont="1" applyNumberFormat="1"/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4" numFmtId="1" xfId="0" applyAlignment="1" applyBorder="1" applyFont="1" applyNumberFormat="1">
      <alignment readingOrder="0"/>
    </xf>
    <xf borderId="0" fillId="5" fontId="10" numFmtId="164" xfId="0" applyAlignment="1" applyFont="1" applyNumberFormat="1">
      <alignment horizontal="right" readingOrder="0"/>
    </xf>
    <xf borderId="9" fillId="0" fontId="9" numFmtId="0" xfId="0" applyBorder="1" applyFont="1"/>
    <xf borderId="10" fillId="0" fontId="9" numFmtId="0" xfId="0" applyBorder="1" applyFont="1"/>
    <xf borderId="11" fillId="0" fontId="7" numFmtId="164" xfId="0" applyBorder="1" applyFont="1" applyNumberFormat="1"/>
    <xf borderId="0" fillId="0" fontId="3" numFmtId="164" xfId="0" applyFont="1" applyNumberFormat="1"/>
    <xf borderId="0" fillId="0" fontId="3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3" numFmtId="165" xfId="0" applyFont="1" applyNumberFormat="1"/>
    <xf borderId="8" fillId="0" fontId="12" numFmtId="164" xfId="0" applyAlignment="1" applyBorder="1" applyFont="1" applyNumberFormat="1">
      <alignment readingOrder="0"/>
    </xf>
    <xf borderId="12" fillId="6" fontId="13" numFmtId="164" xfId="0" applyAlignment="1" applyBorder="1" applyFill="1" applyFont="1" applyNumberFormat="1">
      <alignment readingOrder="0"/>
    </xf>
    <xf borderId="12" fillId="6" fontId="7" numFmtId="164" xfId="0" applyBorder="1" applyFont="1" applyNumberFormat="1"/>
    <xf borderId="13" fillId="6" fontId="7" numFmtId="0" xfId="0" applyAlignment="1" applyBorder="1" applyFont="1">
      <alignment horizontal="right"/>
    </xf>
    <xf borderId="14" fillId="0" fontId="4" numFmtId="0" xfId="0" applyBorder="1" applyFont="1"/>
    <xf borderId="15" fillId="3" fontId="5" numFmtId="0" xfId="0" applyAlignment="1" applyBorder="1" applyFont="1">
      <alignment horizontal="center"/>
    </xf>
    <xf borderId="16" fillId="0" fontId="6" numFmtId="0" xfId="0" applyBorder="1" applyFont="1"/>
    <xf borderId="12" fillId="4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12" fillId="0" fontId="4" numFmtId="0" xfId="0" applyBorder="1" applyFont="1"/>
    <xf borderId="6" fillId="0" fontId="4" numFmtId="0" xfId="0" applyAlignment="1" applyBorder="1" applyFont="1">
      <alignment readingOrder="0"/>
    </xf>
    <xf borderId="8" fillId="6" fontId="7" numFmtId="164" xfId="0" applyBorder="1" applyFont="1" applyNumberFormat="1"/>
    <xf borderId="6" fillId="0" fontId="4" numFmtId="0" xfId="0" applyBorder="1" applyFont="1"/>
    <xf borderId="9" fillId="0" fontId="7" numFmtId="0" xfId="0" applyAlignment="1" applyBorder="1" applyFont="1">
      <alignment horizontal="center"/>
    </xf>
    <xf borderId="17" fillId="0" fontId="4" numFmtId="0" xfId="0" applyBorder="1" applyFont="1"/>
    <xf borderId="9" fillId="0" fontId="4" numFmtId="0" xfId="0" applyBorder="1" applyFont="1"/>
    <xf borderId="11" fillId="0" fontId="4" numFmtId="164" xfId="0" applyBorder="1" applyFont="1" applyNumberFormat="1"/>
    <xf borderId="11" fillId="6" fontId="7" numFmtId="164" xfId="0" applyBorder="1" applyFont="1" applyNumberFormat="1"/>
    <xf borderId="17" fillId="6" fontId="7" numFmtId="164" xfId="0" applyBorder="1" applyFont="1" applyNumberFormat="1"/>
    <xf borderId="0" fillId="0" fontId="3" numFmtId="3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12" fillId="6" fontId="7" numFmtId="10" xfId="0" applyBorder="1" applyFont="1" applyNumberFormat="1"/>
    <xf borderId="12" fillId="6" fontId="7" numFmtId="166" xfId="0" applyBorder="1" applyFont="1" applyNumberFormat="1"/>
    <xf borderId="2" fillId="4" fontId="7" numFmtId="0" xfId="0" applyAlignment="1" applyBorder="1" applyFont="1">
      <alignment horizontal="left"/>
    </xf>
    <xf borderId="13" fillId="4" fontId="7" numFmtId="0" xfId="0" applyAlignment="1" applyBorder="1" applyFont="1">
      <alignment horizontal="center"/>
    </xf>
    <xf borderId="14" fillId="4" fontId="7" numFmtId="0" xfId="0" applyAlignment="1" applyBorder="1" applyFont="1">
      <alignment horizontal="center"/>
    </xf>
    <xf borderId="6" fillId="6" fontId="4" numFmtId="0" xfId="0" applyBorder="1" applyFont="1"/>
    <xf borderId="8" fillId="6" fontId="4" numFmtId="164" xfId="0" applyBorder="1" applyFont="1" applyNumberFormat="1"/>
    <xf borderId="8" fillId="6" fontId="7" numFmtId="166" xfId="0" applyBorder="1" applyFont="1" applyNumberFormat="1"/>
    <xf borderId="12" fillId="6" fontId="7" numFmtId="167" xfId="0" applyBorder="1" applyFont="1" applyNumberFormat="1"/>
    <xf borderId="0" fillId="0" fontId="4" numFmtId="164" xfId="0" applyFont="1" applyNumberFormat="1"/>
    <xf borderId="0" fillId="0" fontId="4" numFmtId="167" xfId="0" applyFont="1" applyNumberFormat="1"/>
    <xf borderId="11" fillId="6" fontId="4" numFmtId="164" xfId="0" applyBorder="1" applyFont="1" applyNumberFormat="1"/>
    <xf borderId="11" fillId="6" fontId="7" numFmtId="166" xfId="0" applyBorder="1" applyFont="1" applyNumberFormat="1"/>
    <xf borderId="4" fillId="3" fontId="14" numFmtId="0" xfId="0" applyAlignment="1" applyBorder="1" applyFont="1">
      <alignment horizontal="center" readingOrder="0"/>
    </xf>
    <xf borderId="8" fillId="0" fontId="4" numFmtId="167" xfId="0" applyAlignment="1" applyBorder="1" applyFont="1" applyNumberFormat="1">
      <alignment readingOrder="0"/>
    </xf>
    <xf borderId="12" fillId="0" fontId="4" numFmtId="167" xfId="0" applyAlignment="1" applyBorder="1" applyFont="1" applyNumberFormat="1">
      <alignment readingOrder="0"/>
    </xf>
    <xf borderId="18" fillId="0" fontId="4" numFmtId="167" xfId="0" applyAlignment="1" applyBorder="1" applyFont="1" applyNumberFormat="1">
      <alignment readingOrder="0"/>
    </xf>
    <xf borderId="6" fillId="0" fontId="4" numFmtId="0" xfId="0" applyAlignment="1" applyBorder="1" applyFont="1">
      <alignment horizontal="left"/>
    </xf>
    <xf borderId="9" fillId="6" fontId="7" numFmtId="0" xfId="0" applyBorder="1" applyFon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Cashflow vs Project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Cashflow!$A$37</c:f>
            </c:strRef>
          </c:tx>
          <c:marker>
            <c:symbol val="none"/>
          </c:marker>
          <c:cat>
            <c:strRef>
              <c:f>Cashflow!$B$4:$R$4</c:f>
            </c:strRef>
          </c:cat>
          <c:val>
            <c:numRef>
              <c:f>Cashflow!$B$37:$R$37</c:f>
              <c:numCache/>
            </c:numRef>
          </c:val>
          <c:smooth val="1"/>
        </c:ser>
        <c:ser>
          <c:idx val="1"/>
          <c:order val="1"/>
          <c:tx>
            <c:strRef>
              <c:f>Cashflow!$A$38</c:f>
            </c:strRef>
          </c:tx>
          <c:marker>
            <c:symbol val="none"/>
          </c:marker>
          <c:cat>
            <c:strRef>
              <c:f>Cashflow!$B$4:$R$4</c:f>
            </c:strRef>
          </c:cat>
          <c:val>
            <c:numRef>
              <c:f>Cashflow!$B$38:$R$38</c:f>
              <c:numCache/>
            </c:numRef>
          </c:val>
          <c:smooth val="1"/>
        </c:ser>
        <c:ser>
          <c:idx val="2"/>
          <c:order val="2"/>
          <c:tx>
            <c:strRef>
              <c:f>Cashflow!$A$39</c:f>
            </c:strRef>
          </c:tx>
          <c:marker>
            <c:symbol val="none"/>
          </c:marker>
          <c:cat>
            <c:strRef>
              <c:f>Cashflow!$B$4:$R$4</c:f>
            </c:strRef>
          </c:cat>
          <c:val>
            <c:numRef>
              <c:f>Cashflow!$B$39:$R$39</c:f>
              <c:numCache/>
            </c:numRef>
          </c:val>
          <c:smooth val="1"/>
        </c:ser>
        <c:axId val="1172574626"/>
        <c:axId val="543628842"/>
      </c:lineChart>
      <c:catAx>
        <c:axId val="117257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628842"/>
      </c:catAx>
      <c:valAx>
        <c:axId val="543628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Cashflow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574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41</xdr:row>
      <xdr:rowOff>142875</xdr:rowOff>
    </xdr:from>
    <xdr:ext cx="8296275" cy="5133975"/>
    <xdr:graphicFrame>
      <xdr:nvGraphicFramePr>
        <xdr:cNvPr id="24704986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9.63"/>
    <col customWidth="1" min="2" max="2" width="18.38"/>
    <col customWidth="1" min="3" max="3" width="11.13"/>
    <col customWidth="1" min="4" max="4" width="12.75"/>
    <col customWidth="1" min="5" max="5" width="12.25"/>
    <col customWidth="1" min="6" max="7" width="12.88"/>
    <col customWidth="1" min="8" max="8" width="13.25"/>
    <col customWidth="1" min="9" max="9" width="10.88"/>
    <col customWidth="1" min="10" max="11" width="11.75"/>
    <col customWidth="1" min="12" max="12" width="12.25"/>
    <col customWidth="1" min="13" max="13" width="11.13"/>
    <col customWidth="1" min="14" max="15" width="11.5"/>
    <col customWidth="1" min="16" max="16" width="10.88"/>
    <col customWidth="1" min="17" max="17" width="12.25"/>
    <col customWidth="1" min="18" max="18" width="12.63"/>
    <col customWidth="1" min="19" max="27" width="8.0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</row>
    <row r="3">
      <c r="A3" s="4"/>
      <c r="B3" s="5"/>
      <c r="C3" s="6" t="s">
        <v>1</v>
      </c>
      <c r="D3" s="7"/>
      <c r="E3" s="7"/>
      <c r="F3" s="7"/>
      <c r="G3" s="7"/>
      <c r="H3" s="8"/>
      <c r="I3" s="6" t="s">
        <v>1</v>
      </c>
      <c r="J3" s="7"/>
      <c r="K3" s="7"/>
      <c r="L3" s="7"/>
      <c r="M3" s="7"/>
      <c r="N3" s="7"/>
      <c r="O3" s="8"/>
      <c r="P3" s="6" t="s">
        <v>1</v>
      </c>
      <c r="Q3" s="7"/>
      <c r="R3" s="8"/>
    </row>
    <row r="4">
      <c r="A4" s="9" t="s">
        <v>2</v>
      </c>
      <c r="B4" s="10" t="s">
        <v>3</v>
      </c>
      <c r="C4" s="11" t="s">
        <v>4</v>
      </c>
      <c r="D4" s="11" t="s">
        <v>5</v>
      </c>
      <c r="E4" s="11" t="s">
        <v>6</v>
      </c>
      <c r="F4" s="12" t="s">
        <v>7</v>
      </c>
      <c r="G4" s="11" t="s">
        <v>8</v>
      </c>
      <c r="H4" s="11" t="s">
        <v>9</v>
      </c>
      <c r="I4" s="11" t="s">
        <v>10</v>
      </c>
      <c r="J4" s="12" t="s">
        <v>11</v>
      </c>
      <c r="K4" s="11" t="s">
        <v>12</v>
      </c>
      <c r="L4" s="11" t="s">
        <v>13</v>
      </c>
      <c r="M4" s="11" t="s">
        <v>14</v>
      </c>
      <c r="N4" s="12" t="s">
        <v>15</v>
      </c>
      <c r="O4" s="11" t="s">
        <v>16</v>
      </c>
      <c r="P4" s="11" t="s">
        <v>17</v>
      </c>
      <c r="Q4" s="11" t="s">
        <v>18</v>
      </c>
      <c r="R4" s="12" t="s">
        <v>19</v>
      </c>
    </row>
    <row r="5">
      <c r="A5" s="13" t="s">
        <v>20</v>
      </c>
      <c r="B5" s="14"/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7000.0</v>
      </c>
      <c r="O5" s="15">
        <v>7000.0</v>
      </c>
      <c r="P5" s="15">
        <v>7000.0</v>
      </c>
      <c r="Q5" s="15">
        <v>7000.0</v>
      </c>
      <c r="R5" s="15">
        <v>7000.0</v>
      </c>
      <c r="S5" s="13" t="s">
        <v>20</v>
      </c>
    </row>
    <row r="6">
      <c r="A6" s="13" t="s">
        <v>21</v>
      </c>
      <c r="B6" s="14"/>
      <c r="C6" s="15">
        <v>0.0</v>
      </c>
      <c r="D6" s="15">
        <v>0.0</v>
      </c>
      <c r="E6" s="15">
        <v>0.0</v>
      </c>
      <c r="F6" s="15">
        <v>0.0</v>
      </c>
      <c r="G6" s="15">
        <v>3000.0</v>
      </c>
      <c r="H6" s="15">
        <v>3000.0</v>
      </c>
      <c r="I6" s="15">
        <v>3000.0</v>
      </c>
      <c r="J6" s="15">
        <v>3000.0</v>
      </c>
      <c r="K6" s="15">
        <v>3000.0</v>
      </c>
      <c r="L6" s="15">
        <v>3000.0</v>
      </c>
      <c r="M6" s="15">
        <v>3000.0</v>
      </c>
      <c r="N6" s="15">
        <v>3000.0</v>
      </c>
      <c r="O6" s="15">
        <v>3000.0</v>
      </c>
      <c r="P6" s="15">
        <v>3000.0</v>
      </c>
      <c r="Q6" s="15">
        <v>3000.0</v>
      </c>
      <c r="R6" s="15">
        <v>3000.0</v>
      </c>
      <c r="S6" s="13" t="s">
        <v>21</v>
      </c>
    </row>
    <row r="7">
      <c r="A7" s="13" t="s">
        <v>22</v>
      </c>
      <c r="B7" s="14"/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9000.0</v>
      </c>
      <c r="P7" s="15">
        <v>9000.0</v>
      </c>
      <c r="Q7" s="15">
        <v>9000.0</v>
      </c>
      <c r="R7" s="15">
        <v>9000.0</v>
      </c>
      <c r="S7" s="13" t="s">
        <v>22</v>
      </c>
    </row>
    <row r="8">
      <c r="A8" s="13" t="s">
        <v>23</v>
      </c>
      <c r="B8" s="14"/>
      <c r="C8" s="15">
        <v>0.0</v>
      </c>
      <c r="D8" s="15">
        <v>0.0</v>
      </c>
      <c r="E8" s="15">
        <v>0.0</v>
      </c>
      <c r="F8" s="15">
        <v>0.0</v>
      </c>
      <c r="G8" s="15">
        <v>6000.0</v>
      </c>
      <c r="H8" s="15">
        <v>6000.0</v>
      </c>
      <c r="I8" s="15">
        <v>6000.0</v>
      </c>
      <c r="J8" s="15">
        <v>6000.0</v>
      </c>
      <c r="K8" s="15">
        <v>6000.0</v>
      </c>
      <c r="L8" s="15">
        <v>6000.0</v>
      </c>
      <c r="M8" s="15">
        <v>6000.0</v>
      </c>
      <c r="N8" s="15">
        <v>6000.0</v>
      </c>
      <c r="O8" s="15">
        <v>6000.0</v>
      </c>
      <c r="P8" s="15">
        <v>6000.0</v>
      </c>
      <c r="Q8" s="15">
        <v>6000.0</v>
      </c>
      <c r="R8" s="15">
        <v>6000.0</v>
      </c>
      <c r="S8" s="13" t="s">
        <v>23</v>
      </c>
    </row>
    <row r="9">
      <c r="A9" s="13" t="s">
        <v>24</v>
      </c>
      <c r="B9" s="14"/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3000.0</v>
      </c>
      <c r="L9" s="15">
        <v>3000.0</v>
      </c>
      <c r="M9" s="15">
        <v>3000.0</v>
      </c>
      <c r="N9" s="15">
        <v>3000.0</v>
      </c>
      <c r="O9" s="15">
        <v>3000.0</v>
      </c>
      <c r="P9" s="15">
        <v>3000.0</v>
      </c>
      <c r="Q9" s="15">
        <v>3000.0</v>
      </c>
      <c r="R9" s="15">
        <v>3000.0</v>
      </c>
      <c r="S9" s="13" t="s">
        <v>24</v>
      </c>
    </row>
    <row r="10">
      <c r="A10" s="13" t="s">
        <v>25</v>
      </c>
      <c r="B10" s="14"/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5000.0</v>
      </c>
      <c r="O10" s="15">
        <v>5000.0</v>
      </c>
      <c r="P10" s="15">
        <v>5000.0</v>
      </c>
      <c r="Q10" s="15">
        <v>5000.0</v>
      </c>
      <c r="R10" s="15">
        <v>5000.0</v>
      </c>
      <c r="S10" s="13" t="s">
        <v>25</v>
      </c>
    </row>
    <row r="11">
      <c r="A11" s="16" t="s">
        <v>26</v>
      </c>
      <c r="B11" s="17"/>
      <c r="C11" s="18"/>
      <c r="D11" s="18">
        <v>1799.0</v>
      </c>
      <c r="E11" s="18">
        <v>2121.0</v>
      </c>
      <c r="F11" s="18">
        <v>3201.0</v>
      </c>
      <c r="G11" s="18">
        <v>3125.0</v>
      </c>
      <c r="H11" s="18">
        <v>4754.0</v>
      </c>
      <c r="I11" s="18">
        <v>5345.0</v>
      </c>
      <c r="J11" s="18">
        <v>5245.0</v>
      </c>
      <c r="K11" s="18">
        <v>6308.0</v>
      </c>
      <c r="L11" s="18">
        <v>8346.0</v>
      </c>
      <c r="M11" s="18">
        <v>8692.0</v>
      </c>
      <c r="N11" s="18">
        <v>9587.0</v>
      </c>
      <c r="O11" s="18">
        <v>9367.0</v>
      </c>
      <c r="P11" s="18">
        <v>11384.0</v>
      </c>
      <c r="Q11" s="18">
        <v>16729.0</v>
      </c>
      <c r="R11" s="18">
        <v>18253.0</v>
      </c>
      <c r="T11" s="19"/>
      <c r="U11" s="19"/>
      <c r="V11" s="19"/>
      <c r="W11" s="19"/>
      <c r="X11" s="19"/>
      <c r="Y11" s="19"/>
      <c r="Z11" s="19"/>
      <c r="AA11" s="19"/>
    </row>
    <row r="12">
      <c r="A12" s="16" t="s">
        <v>27</v>
      </c>
      <c r="B12" s="17"/>
      <c r="C12" s="18"/>
      <c r="D12" s="18">
        <v>1210.0</v>
      </c>
      <c r="E12" s="18">
        <v>1423.0</v>
      </c>
      <c r="F12" s="18">
        <v>2118.0</v>
      </c>
      <c r="G12" s="18">
        <v>1906.0</v>
      </c>
      <c r="H12" s="18">
        <v>2937.0</v>
      </c>
      <c r="I12" s="18">
        <v>3197.0</v>
      </c>
      <c r="J12" s="18">
        <v>3412.0</v>
      </c>
      <c r="K12" s="18">
        <v>3719.0</v>
      </c>
      <c r="L12" s="18">
        <v>5603.0</v>
      </c>
      <c r="M12" s="18">
        <v>5892.0</v>
      </c>
      <c r="N12" s="18">
        <v>6578.0</v>
      </c>
      <c r="O12" s="18">
        <v>6672.0</v>
      </c>
      <c r="P12" s="18">
        <v>7834.0</v>
      </c>
      <c r="Q12" s="18">
        <v>9763.0</v>
      </c>
      <c r="R12" s="18">
        <v>13587.0</v>
      </c>
      <c r="T12" s="19"/>
      <c r="U12" s="19"/>
      <c r="V12" s="19"/>
      <c r="W12" s="19"/>
      <c r="X12" s="19"/>
      <c r="Y12" s="19"/>
      <c r="Z12" s="19"/>
      <c r="AA12" s="19"/>
    </row>
    <row r="13">
      <c r="A13" s="16" t="s">
        <v>28</v>
      </c>
      <c r="B13" s="17"/>
      <c r="C13" s="18">
        <f t="shared" ref="C13:R13" si="1">C11-C12</f>
        <v>0</v>
      </c>
      <c r="D13" s="18">
        <f t="shared" si="1"/>
        <v>589</v>
      </c>
      <c r="E13" s="18">
        <f t="shared" si="1"/>
        <v>698</v>
      </c>
      <c r="F13" s="18">
        <f t="shared" si="1"/>
        <v>1083</v>
      </c>
      <c r="G13" s="18">
        <f t="shared" si="1"/>
        <v>1219</v>
      </c>
      <c r="H13" s="18">
        <f t="shared" si="1"/>
        <v>1817</v>
      </c>
      <c r="I13" s="18">
        <f t="shared" si="1"/>
        <v>2148</v>
      </c>
      <c r="J13" s="18">
        <f t="shared" si="1"/>
        <v>1833</v>
      </c>
      <c r="K13" s="18">
        <f t="shared" si="1"/>
        <v>2589</v>
      </c>
      <c r="L13" s="18">
        <f t="shared" si="1"/>
        <v>2743</v>
      </c>
      <c r="M13" s="18">
        <f t="shared" si="1"/>
        <v>2800</v>
      </c>
      <c r="N13" s="18">
        <f t="shared" si="1"/>
        <v>3009</v>
      </c>
      <c r="O13" s="18">
        <f t="shared" si="1"/>
        <v>2695</v>
      </c>
      <c r="P13" s="18">
        <f t="shared" si="1"/>
        <v>3550</v>
      </c>
      <c r="Q13" s="18">
        <f t="shared" si="1"/>
        <v>6966</v>
      </c>
      <c r="R13" s="18">
        <f t="shared" si="1"/>
        <v>4666</v>
      </c>
      <c r="T13" s="19"/>
      <c r="U13" s="19"/>
      <c r="V13" s="19"/>
      <c r="W13" s="19"/>
      <c r="X13" s="19"/>
      <c r="Y13" s="19"/>
      <c r="Z13" s="19"/>
      <c r="AA13" s="19"/>
    </row>
    <row r="14">
      <c r="A14" s="20" t="s">
        <v>29</v>
      </c>
      <c r="B14" s="20"/>
      <c r="C14" s="18"/>
      <c r="D14" s="18">
        <f t="shared" ref="D14:F14" si="2">D13</f>
        <v>589</v>
      </c>
      <c r="E14" s="18">
        <f t="shared" si="2"/>
        <v>698</v>
      </c>
      <c r="F14" s="18">
        <f t="shared" si="2"/>
        <v>1083</v>
      </c>
      <c r="G14" s="18">
        <f t="shared" ref="G14:R14" si="3">round(sum(C14/100*90+G13),0)</f>
        <v>1219</v>
      </c>
      <c r="H14" s="18">
        <f t="shared" si="3"/>
        <v>2347</v>
      </c>
      <c r="I14" s="18">
        <f t="shared" si="3"/>
        <v>2776</v>
      </c>
      <c r="J14" s="18">
        <f t="shared" si="3"/>
        <v>2808</v>
      </c>
      <c r="K14" s="18">
        <f t="shared" si="3"/>
        <v>3686</v>
      </c>
      <c r="L14" s="18">
        <f t="shared" si="3"/>
        <v>4855</v>
      </c>
      <c r="M14" s="18">
        <f t="shared" si="3"/>
        <v>5298</v>
      </c>
      <c r="N14" s="18">
        <f t="shared" si="3"/>
        <v>5536</v>
      </c>
      <c r="O14" s="18">
        <f t="shared" si="3"/>
        <v>6012</v>
      </c>
      <c r="P14" s="18">
        <f t="shared" si="3"/>
        <v>7920</v>
      </c>
      <c r="Q14" s="18">
        <f t="shared" si="3"/>
        <v>11734</v>
      </c>
      <c r="R14" s="18">
        <f t="shared" si="3"/>
        <v>9648</v>
      </c>
      <c r="T14" s="19"/>
      <c r="U14" s="19"/>
      <c r="V14" s="19"/>
      <c r="W14" s="19"/>
      <c r="X14" s="19"/>
      <c r="Y14" s="19"/>
      <c r="Z14" s="19"/>
      <c r="AA14" s="19"/>
    </row>
    <row r="15">
      <c r="A15" s="16" t="s">
        <v>30</v>
      </c>
      <c r="B15" s="17"/>
      <c r="C15" s="15">
        <v>24.0</v>
      </c>
      <c r="D15" s="15">
        <v>24.0</v>
      </c>
      <c r="E15" s="15">
        <v>24.0</v>
      </c>
      <c r="F15" s="15">
        <v>24.0</v>
      </c>
      <c r="G15" s="15">
        <v>24.0</v>
      </c>
      <c r="H15" s="15">
        <v>24.0</v>
      </c>
      <c r="I15" s="15">
        <v>24.0</v>
      </c>
      <c r="J15" s="15">
        <v>24.0</v>
      </c>
      <c r="K15" s="15">
        <v>24.0</v>
      </c>
      <c r="L15" s="15">
        <v>24.0</v>
      </c>
      <c r="M15" s="15">
        <v>24.0</v>
      </c>
      <c r="N15" s="15">
        <v>24.0</v>
      </c>
      <c r="O15" s="15">
        <v>24.0</v>
      </c>
      <c r="P15" s="15">
        <v>24.0</v>
      </c>
      <c r="Q15" s="15">
        <v>24.0</v>
      </c>
      <c r="R15" s="15">
        <v>24.0</v>
      </c>
    </row>
    <row r="16">
      <c r="A16" s="13" t="s">
        <v>3</v>
      </c>
      <c r="B16" s="14">
        <v>12000.0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>
      <c r="A17" s="13" t="s">
        <v>31</v>
      </c>
      <c r="B17" s="14"/>
      <c r="C17" s="15">
        <f t="shared" ref="C17:R17" si="4">C14*C15</f>
        <v>0</v>
      </c>
      <c r="D17" s="15">
        <f t="shared" si="4"/>
        <v>14136</v>
      </c>
      <c r="E17" s="15">
        <f t="shared" si="4"/>
        <v>16752</v>
      </c>
      <c r="F17" s="15">
        <f t="shared" si="4"/>
        <v>25992</v>
      </c>
      <c r="G17" s="15">
        <f t="shared" si="4"/>
        <v>29256</v>
      </c>
      <c r="H17" s="15">
        <f t="shared" si="4"/>
        <v>56328</v>
      </c>
      <c r="I17" s="15">
        <f t="shared" si="4"/>
        <v>66624</v>
      </c>
      <c r="J17" s="15">
        <f t="shared" si="4"/>
        <v>67392</v>
      </c>
      <c r="K17" s="15">
        <f t="shared" si="4"/>
        <v>88464</v>
      </c>
      <c r="L17" s="15">
        <f t="shared" si="4"/>
        <v>116520</v>
      </c>
      <c r="M17" s="15">
        <f t="shared" si="4"/>
        <v>127152</v>
      </c>
      <c r="N17" s="15">
        <f t="shared" si="4"/>
        <v>132864</v>
      </c>
      <c r="O17" s="15">
        <f t="shared" si="4"/>
        <v>144288</v>
      </c>
      <c r="P17" s="15">
        <f t="shared" si="4"/>
        <v>190080</v>
      </c>
      <c r="Q17" s="15">
        <f t="shared" si="4"/>
        <v>281616</v>
      </c>
      <c r="R17" s="15">
        <f t="shared" si="4"/>
        <v>231552</v>
      </c>
    </row>
    <row r="18">
      <c r="A18" s="21" t="s">
        <v>32</v>
      </c>
      <c r="B18" s="22">
        <f>B16</f>
        <v>12000</v>
      </c>
      <c r="C18" s="23">
        <f t="shared" ref="C18:R18" si="5">SUM(C5:C10)+C17+C16</f>
        <v>0</v>
      </c>
      <c r="D18" s="23">
        <f t="shared" si="5"/>
        <v>14136</v>
      </c>
      <c r="E18" s="23">
        <f t="shared" si="5"/>
        <v>16752</v>
      </c>
      <c r="F18" s="23">
        <f t="shared" si="5"/>
        <v>25992</v>
      </c>
      <c r="G18" s="23">
        <f t="shared" si="5"/>
        <v>38256</v>
      </c>
      <c r="H18" s="23">
        <f t="shared" si="5"/>
        <v>65328</v>
      </c>
      <c r="I18" s="23">
        <f t="shared" si="5"/>
        <v>75624</v>
      </c>
      <c r="J18" s="23">
        <f t="shared" si="5"/>
        <v>76392</v>
      </c>
      <c r="K18" s="23">
        <f t="shared" si="5"/>
        <v>100464</v>
      </c>
      <c r="L18" s="23">
        <f t="shared" si="5"/>
        <v>128520</v>
      </c>
      <c r="M18" s="23">
        <f t="shared" si="5"/>
        <v>139152</v>
      </c>
      <c r="N18" s="23">
        <f t="shared" si="5"/>
        <v>156864</v>
      </c>
      <c r="O18" s="23">
        <f t="shared" si="5"/>
        <v>177288</v>
      </c>
      <c r="P18" s="23">
        <f t="shared" si="5"/>
        <v>223080</v>
      </c>
      <c r="Q18" s="23">
        <f t="shared" si="5"/>
        <v>314616</v>
      </c>
      <c r="R18" s="23">
        <f t="shared" si="5"/>
        <v>264552</v>
      </c>
    </row>
    <row r="19">
      <c r="A19" s="20" t="s">
        <v>33</v>
      </c>
      <c r="B19" s="20"/>
      <c r="C19" s="15"/>
      <c r="D19" s="15">
        <v>400.0</v>
      </c>
      <c r="E19" s="15">
        <v>700.0</v>
      </c>
      <c r="F19" s="15">
        <v>700.0</v>
      </c>
      <c r="G19" s="15">
        <v>700.0</v>
      </c>
      <c r="H19" s="15">
        <v>1200.0</v>
      </c>
      <c r="I19" s="15">
        <v>1200.0</v>
      </c>
      <c r="J19" s="15">
        <v>1200.0</v>
      </c>
      <c r="K19" s="15">
        <v>1800.0</v>
      </c>
      <c r="L19" s="15">
        <v>2500.0</v>
      </c>
      <c r="M19" s="15">
        <v>4000.0</v>
      </c>
      <c r="N19" s="15">
        <v>7000.0</v>
      </c>
      <c r="O19" s="15">
        <v>7000.0</v>
      </c>
      <c r="P19" s="15">
        <v>7000.0</v>
      </c>
      <c r="Q19" s="15">
        <v>10000.0</v>
      </c>
      <c r="R19" s="15">
        <v>10000.0</v>
      </c>
      <c r="S19" s="20" t="s">
        <v>33</v>
      </c>
    </row>
    <row r="20">
      <c r="A20" s="20" t="s">
        <v>34</v>
      </c>
      <c r="B20" s="20"/>
      <c r="C20" s="15"/>
      <c r="D20" s="15">
        <v>3000.0</v>
      </c>
      <c r="E20" s="15">
        <v>3000.0</v>
      </c>
      <c r="F20" s="15">
        <v>5500.0</v>
      </c>
      <c r="G20" s="15">
        <v>5500.0</v>
      </c>
      <c r="H20" s="15">
        <v>7800.0</v>
      </c>
      <c r="I20" s="15">
        <v>8300.0</v>
      </c>
      <c r="J20" s="15">
        <v>8300.0</v>
      </c>
      <c r="K20" s="15">
        <v>8800.0</v>
      </c>
      <c r="L20" s="15">
        <v>9300.0</v>
      </c>
      <c r="M20" s="15">
        <v>9800.0</v>
      </c>
      <c r="N20" s="15">
        <v>11500.0</v>
      </c>
      <c r="O20" s="15">
        <v>12000.0</v>
      </c>
      <c r="P20" s="15">
        <v>14300.0</v>
      </c>
      <c r="Q20" s="15">
        <v>16000.0</v>
      </c>
      <c r="R20" s="15">
        <v>18500.0</v>
      </c>
      <c r="S20" s="20" t="s">
        <v>34</v>
      </c>
    </row>
    <row r="21">
      <c r="A21" s="24" t="s">
        <v>35</v>
      </c>
      <c r="B21" s="25"/>
      <c r="C21" s="26"/>
      <c r="D21" s="26"/>
      <c r="E21" s="26"/>
      <c r="F21" s="26"/>
      <c r="G21" s="26">
        <v>1.0</v>
      </c>
      <c r="H21" s="26">
        <v>1.0</v>
      </c>
      <c r="I21" s="26">
        <v>1.0</v>
      </c>
      <c r="J21" s="26">
        <v>1.0</v>
      </c>
      <c r="K21" s="26">
        <v>2.0</v>
      </c>
      <c r="L21" s="26">
        <v>2.0</v>
      </c>
      <c r="M21" s="26">
        <v>2.0</v>
      </c>
      <c r="N21" s="26">
        <v>2.0</v>
      </c>
      <c r="O21" s="26">
        <v>2.0</v>
      </c>
      <c r="P21" s="26">
        <v>2.0</v>
      </c>
      <c r="Q21" s="26">
        <v>2.0</v>
      </c>
      <c r="R21" s="26">
        <v>2.0</v>
      </c>
      <c r="S21" s="24" t="s">
        <v>35</v>
      </c>
    </row>
    <row r="22">
      <c r="A22" s="24" t="s">
        <v>36</v>
      </c>
      <c r="B22" s="25"/>
      <c r="C22" s="15">
        <v>0.0</v>
      </c>
      <c r="D22" s="15">
        <v>0.0</v>
      </c>
      <c r="E22" s="15">
        <v>0.0</v>
      </c>
      <c r="F22" s="15">
        <v>0.0</v>
      </c>
      <c r="G22" s="15">
        <f t="shared" ref="G22:R22" si="6">4300*G21*3</f>
        <v>12900</v>
      </c>
      <c r="H22" s="15">
        <f t="shared" si="6"/>
        <v>12900</v>
      </c>
      <c r="I22" s="15">
        <f t="shared" si="6"/>
        <v>12900</v>
      </c>
      <c r="J22" s="15">
        <f t="shared" si="6"/>
        <v>12900</v>
      </c>
      <c r="K22" s="15">
        <f t="shared" si="6"/>
        <v>25800</v>
      </c>
      <c r="L22" s="15">
        <f t="shared" si="6"/>
        <v>25800</v>
      </c>
      <c r="M22" s="15">
        <f t="shared" si="6"/>
        <v>25800</v>
      </c>
      <c r="N22" s="15">
        <f t="shared" si="6"/>
        <v>25800</v>
      </c>
      <c r="O22" s="15">
        <f t="shared" si="6"/>
        <v>25800</v>
      </c>
      <c r="P22" s="15">
        <f t="shared" si="6"/>
        <v>25800</v>
      </c>
      <c r="Q22" s="15">
        <f t="shared" si="6"/>
        <v>25800</v>
      </c>
      <c r="R22" s="15">
        <f t="shared" si="6"/>
        <v>25800</v>
      </c>
      <c r="S22" s="24" t="s">
        <v>36</v>
      </c>
    </row>
    <row r="23">
      <c r="A23" s="24" t="s">
        <v>37</v>
      </c>
      <c r="B23" s="25"/>
      <c r="C23" s="26">
        <v>0.0</v>
      </c>
      <c r="D23" s="26">
        <v>2.0</v>
      </c>
      <c r="E23" s="26">
        <v>2.0</v>
      </c>
      <c r="F23" s="26">
        <v>2.0</v>
      </c>
      <c r="G23" s="26">
        <v>2.0</v>
      </c>
      <c r="H23" s="26">
        <v>3.0</v>
      </c>
      <c r="I23" s="26">
        <v>3.0</v>
      </c>
      <c r="J23" s="26">
        <v>3.0</v>
      </c>
      <c r="K23" s="26">
        <v>4.0</v>
      </c>
      <c r="L23" s="26">
        <v>5.0</v>
      </c>
      <c r="M23" s="26">
        <v>5.0</v>
      </c>
      <c r="N23" s="26">
        <v>5.0</v>
      </c>
      <c r="O23" s="26">
        <v>5.0</v>
      </c>
      <c r="P23" s="26">
        <v>5.0</v>
      </c>
      <c r="Q23" s="26">
        <v>5.0</v>
      </c>
      <c r="R23" s="26">
        <v>5.0</v>
      </c>
      <c r="S23" s="24" t="s">
        <v>37</v>
      </c>
    </row>
    <row r="24">
      <c r="A24" s="24" t="s">
        <v>38</v>
      </c>
      <c r="B24" s="25"/>
      <c r="C24" s="15">
        <f>3300*C23*3</f>
        <v>0</v>
      </c>
      <c r="D24" s="15">
        <f t="shared" ref="D24:R24" si="7">2500*D23*3</f>
        <v>15000</v>
      </c>
      <c r="E24" s="15">
        <f t="shared" si="7"/>
        <v>15000</v>
      </c>
      <c r="F24" s="15">
        <f t="shared" si="7"/>
        <v>15000</v>
      </c>
      <c r="G24" s="15">
        <f t="shared" si="7"/>
        <v>15000</v>
      </c>
      <c r="H24" s="15">
        <f t="shared" si="7"/>
        <v>22500</v>
      </c>
      <c r="I24" s="15">
        <f t="shared" si="7"/>
        <v>22500</v>
      </c>
      <c r="J24" s="15">
        <f t="shared" si="7"/>
        <v>22500</v>
      </c>
      <c r="K24" s="15">
        <f t="shared" si="7"/>
        <v>30000</v>
      </c>
      <c r="L24" s="15">
        <f t="shared" si="7"/>
        <v>37500</v>
      </c>
      <c r="M24" s="15">
        <f t="shared" si="7"/>
        <v>37500</v>
      </c>
      <c r="N24" s="15">
        <f t="shared" si="7"/>
        <v>37500</v>
      </c>
      <c r="O24" s="15">
        <f t="shared" si="7"/>
        <v>37500</v>
      </c>
      <c r="P24" s="15">
        <f t="shared" si="7"/>
        <v>37500</v>
      </c>
      <c r="Q24" s="15">
        <f t="shared" si="7"/>
        <v>37500</v>
      </c>
      <c r="R24" s="15">
        <f t="shared" si="7"/>
        <v>37500</v>
      </c>
      <c r="S24" s="24" t="s">
        <v>38</v>
      </c>
    </row>
    <row r="25">
      <c r="A25" s="24" t="s">
        <v>39</v>
      </c>
      <c r="B25" s="25"/>
      <c r="C25" s="26">
        <v>4.0</v>
      </c>
      <c r="D25" s="26">
        <v>4.0</v>
      </c>
      <c r="E25" s="26">
        <v>4.0</v>
      </c>
      <c r="F25" s="26">
        <v>4.0</v>
      </c>
      <c r="G25" s="26">
        <v>4.0</v>
      </c>
      <c r="H25" s="26">
        <v>4.0</v>
      </c>
      <c r="I25" s="26">
        <v>4.0</v>
      </c>
      <c r="J25" s="26">
        <v>4.0</v>
      </c>
      <c r="K25" s="26">
        <v>4.0</v>
      </c>
      <c r="L25" s="26">
        <v>4.0</v>
      </c>
      <c r="M25" s="26">
        <v>4.0</v>
      </c>
      <c r="N25" s="26">
        <v>4.0</v>
      </c>
      <c r="O25" s="26">
        <v>4.0</v>
      </c>
      <c r="P25" s="26">
        <v>4.0</v>
      </c>
      <c r="Q25" s="26">
        <v>4.0</v>
      </c>
      <c r="R25" s="26">
        <v>4.0</v>
      </c>
      <c r="S25" s="24" t="s">
        <v>39</v>
      </c>
    </row>
    <row r="26">
      <c r="A26" s="24" t="s">
        <v>40</v>
      </c>
      <c r="B26" s="25"/>
      <c r="C26" s="15">
        <f t="shared" ref="C26:F26" si="8">0*C25</f>
        <v>0</v>
      </c>
      <c r="D26" s="15">
        <f t="shared" si="8"/>
        <v>0</v>
      </c>
      <c r="E26" s="15">
        <f t="shared" si="8"/>
        <v>0</v>
      </c>
      <c r="F26" s="15">
        <f t="shared" si="8"/>
        <v>0</v>
      </c>
      <c r="G26" s="15">
        <f t="shared" ref="G26:J26" si="9">1000*K25*3</f>
        <v>12000</v>
      </c>
      <c r="H26" s="15">
        <f t="shared" si="9"/>
        <v>12000</v>
      </c>
      <c r="I26" s="15">
        <f t="shared" si="9"/>
        <v>12000</v>
      </c>
      <c r="J26" s="15">
        <f t="shared" si="9"/>
        <v>12000</v>
      </c>
      <c r="K26" s="15">
        <f t="shared" ref="K26:R26" si="10">1600*K25*3</f>
        <v>19200</v>
      </c>
      <c r="L26" s="15">
        <f t="shared" si="10"/>
        <v>19200</v>
      </c>
      <c r="M26" s="15">
        <f t="shared" si="10"/>
        <v>19200</v>
      </c>
      <c r="N26" s="15">
        <f t="shared" si="10"/>
        <v>19200</v>
      </c>
      <c r="O26" s="15">
        <f t="shared" si="10"/>
        <v>19200</v>
      </c>
      <c r="P26" s="15">
        <f t="shared" si="10"/>
        <v>19200</v>
      </c>
      <c r="Q26" s="15">
        <f t="shared" si="10"/>
        <v>19200</v>
      </c>
      <c r="R26" s="15">
        <f t="shared" si="10"/>
        <v>19200</v>
      </c>
      <c r="S26" s="24" t="s">
        <v>40</v>
      </c>
    </row>
    <row r="27">
      <c r="A27" s="24" t="s">
        <v>41</v>
      </c>
      <c r="B27" s="2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8">
        <v>1.0</v>
      </c>
      <c r="P27" s="18">
        <v>1.0</v>
      </c>
      <c r="Q27" s="18">
        <v>1.0</v>
      </c>
      <c r="R27" s="18">
        <v>1.0</v>
      </c>
      <c r="S27" s="24" t="s">
        <v>41</v>
      </c>
    </row>
    <row r="28">
      <c r="A28" s="24" t="s">
        <v>42</v>
      </c>
      <c r="B28" s="2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 t="shared" ref="O28:R28" si="11">O27*5800*3</f>
        <v>17400</v>
      </c>
      <c r="P28" s="15">
        <f t="shared" si="11"/>
        <v>17400</v>
      </c>
      <c r="Q28" s="15">
        <f t="shared" si="11"/>
        <v>17400</v>
      </c>
      <c r="R28" s="15">
        <f t="shared" si="11"/>
        <v>17400</v>
      </c>
      <c r="S28" s="24" t="s">
        <v>42</v>
      </c>
    </row>
    <row r="29">
      <c r="A29" s="24" t="s">
        <v>43</v>
      </c>
      <c r="B29" s="2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8">
        <v>2.0</v>
      </c>
      <c r="P29" s="18">
        <v>2.0</v>
      </c>
      <c r="Q29" s="18">
        <v>2.0</v>
      </c>
      <c r="R29" s="18">
        <v>2.0</v>
      </c>
      <c r="S29" s="24" t="s">
        <v>43</v>
      </c>
    </row>
    <row r="30">
      <c r="A30" s="24" t="s">
        <v>44</v>
      </c>
      <c r="B30" s="2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>
        <f t="shared" ref="O30:R30" si="12">7500*O29*3</f>
        <v>45000</v>
      </c>
      <c r="P30" s="15">
        <f t="shared" si="12"/>
        <v>45000</v>
      </c>
      <c r="Q30" s="15">
        <f t="shared" si="12"/>
        <v>45000</v>
      </c>
      <c r="R30" s="15">
        <f t="shared" si="12"/>
        <v>45000</v>
      </c>
      <c r="S30" s="24" t="s">
        <v>44</v>
      </c>
    </row>
    <row r="31">
      <c r="A31" s="24" t="s">
        <v>45</v>
      </c>
      <c r="B31" s="2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8">
        <v>3.0</v>
      </c>
      <c r="P31" s="18">
        <v>3.0</v>
      </c>
      <c r="Q31" s="18">
        <v>3.0</v>
      </c>
      <c r="R31" s="18">
        <v>3.0</v>
      </c>
      <c r="S31" s="24" t="s">
        <v>45</v>
      </c>
    </row>
    <row r="32">
      <c r="A32" s="24" t="s">
        <v>46</v>
      </c>
      <c r="B32" s="2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>
        <f t="shared" ref="O32:R32" si="13">O31*7500*3</f>
        <v>67500</v>
      </c>
      <c r="P32" s="15">
        <f t="shared" si="13"/>
        <v>67500</v>
      </c>
      <c r="Q32" s="15">
        <f t="shared" si="13"/>
        <v>67500</v>
      </c>
      <c r="R32" s="15">
        <f t="shared" si="13"/>
        <v>67500</v>
      </c>
      <c r="S32" s="24" t="s">
        <v>46</v>
      </c>
    </row>
    <row r="33">
      <c r="A33" s="24" t="s">
        <v>47</v>
      </c>
      <c r="B33" s="2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7">
        <v>320.0</v>
      </c>
      <c r="P33" s="27">
        <v>320.0</v>
      </c>
      <c r="Q33" s="27">
        <v>320.0</v>
      </c>
      <c r="R33" s="27">
        <v>320.0</v>
      </c>
      <c r="S33" s="24" t="s">
        <v>47</v>
      </c>
    </row>
    <row r="34">
      <c r="A34" s="24" t="s">
        <v>48</v>
      </c>
      <c r="B34" s="25"/>
      <c r="C34" s="15">
        <v>320.0</v>
      </c>
      <c r="D34" s="15">
        <v>360.0</v>
      </c>
      <c r="E34" s="15">
        <v>360.0</v>
      </c>
      <c r="F34" s="15">
        <v>390.0</v>
      </c>
      <c r="G34" s="15">
        <v>390.0</v>
      </c>
      <c r="H34" s="15">
        <v>390.0</v>
      </c>
      <c r="I34" s="15">
        <v>430.0</v>
      </c>
      <c r="J34" s="15">
        <v>430.0</v>
      </c>
      <c r="K34" s="15">
        <v>430.0</v>
      </c>
      <c r="L34" s="15">
        <v>450.0</v>
      </c>
      <c r="M34" s="15">
        <v>480.0</v>
      </c>
      <c r="N34" s="15">
        <v>550.0</v>
      </c>
      <c r="O34" s="15">
        <v>580.0</v>
      </c>
      <c r="P34" s="15">
        <v>600.0</v>
      </c>
      <c r="Q34" s="15">
        <v>630.0</v>
      </c>
      <c r="R34" s="15">
        <v>660.0</v>
      </c>
      <c r="S34" s="24" t="s">
        <v>48</v>
      </c>
    </row>
    <row r="35">
      <c r="A35" s="24" t="s">
        <v>49</v>
      </c>
      <c r="B35" s="2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>
        <v>55000.0</v>
      </c>
      <c r="O35" s="15"/>
      <c r="P35" s="15"/>
      <c r="Q35" s="15"/>
      <c r="R35" s="15">
        <v>75000.0</v>
      </c>
      <c r="S35" s="24" t="s">
        <v>49</v>
      </c>
    </row>
    <row r="36">
      <c r="A36" s="21" t="s">
        <v>50</v>
      </c>
      <c r="B36" s="22"/>
      <c r="C36" s="23">
        <f t="shared" ref="C36:R36" si="14">sum(C19:C20)+C22+C24+C26+C28+C30+C32+C33+C34+C35</f>
        <v>320</v>
      </c>
      <c r="D36" s="23">
        <f t="shared" si="14"/>
        <v>18760</v>
      </c>
      <c r="E36" s="23">
        <f t="shared" si="14"/>
        <v>19060</v>
      </c>
      <c r="F36" s="23">
        <f t="shared" si="14"/>
        <v>21590</v>
      </c>
      <c r="G36" s="23">
        <f t="shared" si="14"/>
        <v>46490</v>
      </c>
      <c r="H36" s="23">
        <f t="shared" si="14"/>
        <v>56790</v>
      </c>
      <c r="I36" s="23">
        <f t="shared" si="14"/>
        <v>57330</v>
      </c>
      <c r="J36" s="23">
        <f t="shared" si="14"/>
        <v>57330</v>
      </c>
      <c r="K36" s="23">
        <f t="shared" si="14"/>
        <v>86030</v>
      </c>
      <c r="L36" s="23">
        <f t="shared" si="14"/>
        <v>94750</v>
      </c>
      <c r="M36" s="23">
        <f t="shared" si="14"/>
        <v>96780</v>
      </c>
      <c r="N36" s="23">
        <f t="shared" si="14"/>
        <v>156550</v>
      </c>
      <c r="O36" s="23">
        <f t="shared" si="14"/>
        <v>232300</v>
      </c>
      <c r="P36" s="23">
        <f t="shared" si="14"/>
        <v>234620</v>
      </c>
      <c r="Q36" s="23">
        <f t="shared" si="14"/>
        <v>239350</v>
      </c>
      <c r="R36" s="23">
        <f t="shared" si="14"/>
        <v>316880</v>
      </c>
    </row>
    <row r="37">
      <c r="A37" s="28" t="s">
        <v>0</v>
      </c>
      <c r="B37" s="29">
        <f>B16</f>
        <v>12000</v>
      </c>
      <c r="C37" s="30">
        <f t="shared" ref="C37:R37" si="15">B37+C18-C36</f>
        <v>11680</v>
      </c>
      <c r="D37" s="30">
        <f t="shared" si="15"/>
        <v>7056</v>
      </c>
      <c r="E37" s="30">
        <f t="shared" si="15"/>
        <v>4748</v>
      </c>
      <c r="F37" s="30">
        <f t="shared" si="15"/>
        <v>9150</v>
      </c>
      <c r="G37" s="30">
        <f t="shared" si="15"/>
        <v>916</v>
      </c>
      <c r="H37" s="30">
        <f t="shared" si="15"/>
        <v>9454</v>
      </c>
      <c r="I37" s="30">
        <f t="shared" si="15"/>
        <v>27748</v>
      </c>
      <c r="J37" s="30">
        <f t="shared" si="15"/>
        <v>46810</v>
      </c>
      <c r="K37" s="30">
        <f t="shared" si="15"/>
        <v>61244</v>
      </c>
      <c r="L37" s="30">
        <f t="shared" si="15"/>
        <v>95014</v>
      </c>
      <c r="M37" s="30">
        <f t="shared" si="15"/>
        <v>137386</v>
      </c>
      <c r="N37" s="30">
        <f t="shared" si="15"/>
        <v>137700</v>
      </c>
      <c r="O37" s="30">
        <f t="shared" si="15"/>
        <v>82688</v>
      </c>
      <c r="P37" s="30">
        <f t="shared" si="15"/>
        <v>71148</v>
      </c>
      <c r="Q37" s="30">
        <f t="shared" si="15"/>
        <v>146414</v>
      </c>
      <c r="R37" s="30">
        <f t="shared" si="15"/>
        <v>94086</v>
      </c>
    </row>
    <row r="38">
      <c r="G38" s="31">
        <f t="shared" ref="G38:R38" si="16">G18-G36</f>
        <v>-8234</v>
      </c>
      <c r="H38" s="31">
        <f t="shared" si="16"/>
        <v>8538</v>
      </c>
      <c r="I38" s="31">
        <f t="shared" si="16"/>
        <v>18294</v>
      </c>
      <c r="J38" s="31">
        <f t="shared" si="16"/>
        <v>19062</v>
      </c>
      <c r="K38" s="31">
        <f t="shared" si="16"/>
        <v>14434</v>
      </c>
      <c r="L38" s="31">
        <f t="shared" si="16"/>
        <v>33770</v>
      </c>
      <c r="M38" s="31">
        <f t="shared" si="16"/>
        <v>42372</v>
      </c>
      <c r="N38" s="31">
        <f t="shared" si="16"/>
        <v>314</v>
      </c>
      <c r="O38" s="31">
        <f t="shared" si="16"/>
        <v>-55012</v>
      </c>
      <c r="P38" s="31">
        <f t="shared" si="16"/>
        <v>-11540</v>
      </c>
      <c r="Q38" s="31">
        <f t="shared" si="16"/>
        <v>75266</v>
      </c>
      <c r="R38" s="31">
        <f t="shared" si="16"/>
        <v>-52328</v>
      </c>
    </row>
    <row r="39">
      <c r="J39" s="31">
        <f>sum(G38:J38)</f>
        <v>37660</v>
      </c>
      <c r="N39" s="31">
        <f>sum(K38:N38)</f>
        <v>90890</v>
      </c>
      <c r="R39" s="31">
        <f>sum(O38:R38)</f>
        <v>-43614</v>
      </c>
    </row>
    <row r="42">
      <c r="B42" s="3" t="s">
        <v>51</v>
      </c>
      <c r="C42" s="3" t="s">
        <v>52</v>
      </c>
      <c r="D42" s="3" t="s">
        <v>53</v>
      </c>
      <c r="E42" s="3" t="s">
        <v>54</v>
      </c>
      <c r="F42" s="3" t="s">
        <v>55</v>
      </c>
      <c r="G42" s="3" t="s">
        <v>56</v>
      </c>
      <c r="H42" s="3" t="s">
        <v>57</v>
      </c>
    </row>
    <row r="43" ht="15.75" customHeight="1">
      <c r="B43" s="3" t="s">
        <v>58</v>
      </c>
      <c r="C43" s="32">
        <v>12000.0</v>
      </c>
      <c r="D43" s="33"/>
      <c r="E43" s="33"/>
    </row>
    <row r="44" ht="15.75" customHeight="1">
      <c r="B44" s="3" t="s">
        <v>59</v>
      </c>
      <c r="D44" s="31">
        <f>D17+E17+F17</f>
        <v>56880</v>
      </c>
      <c r="E44" s="32">
        <f>G17+H17+I17+J17</f>
        <v>219600</v>
      </c>
      <c r="F44" s="31">
        <f>K17+L17+M17+N17</f>
        <v>465000</v>
      </c>
      <c r="G44" s="31">
        <f>O17+P17+Q17+R17</f>
        <v>847536</v>
      </c>
    </row>
    <row r="45" ht="15.75" customHeight="1">
      <c r="B45" s="3" t="s">
        <v>60</v>
      </c>
      <c r="E45" s="32">
        <f>G6+G8+H6+H8+I6+I8+J6+J8</f>
        <v>36000</v>
      </c>
      <c r="F45" s="31">
        <f>K6+K8+K9+L6+L8+L9+M6+M8+M9+N5+N6+N8+N9+N10</f>
        <v>60000</v>
      </c>
      <c r="G45" s="31">
        <f>sum(O5:R10)</f>
        <v>132000</v>
      </c>
    </row>
    <row r="46" ht="15.75" customHeight="1">
      <c r="B46" s="3" t="s">
        <v>0</v>
      </c>
      <c r="C46" s="34">
        <f>C43</f>
        <v>12000</v>
      </c>
      <c r="D46" s="31">
        <f>F37</f>
        <v>9150</v>
      </c>
      <c r="E46" s="32">
        <f>J37</f>
        <v>46810</v>
      </c>
      <c r="F46" s="31">
        <f>N37</f>
        <v>137700</v>
      </c>
      <c r="G46" s="31">
        <f>R37</f>
        <v>94086</v>
      </c>
    </row>
    <row r="47" ht="15.75" customHeight="1">
      <c r="C47" s="35"/>
      <c r="D47" s="35"/>
      <c r="E47" s="35"/>
      <c r="F47" s="35"/>
      <c r="G47" s="35"/>
      <c r="H47" s="36"/>
      <c r="I47" s="37"/>
    </row>
    <row r="48" ht="15.75" customHeight="1"/>
    <row r="49" ht="15.75" customHeight="1"/>
    <row r="50" ht="15.75" customHeight="1">
      <c r="B50" s="3" t="s">
        <v>61</v>
      </c>
      <c r="C50" s="3" t="s">
        <v>52</v>
      </c>
      <c r="D50" s="3" t="s">
        <v>53</v>
      </c>
      <c r="E50" s="3" t="s">
        <v>54</v>
      </c>
      <c r="F50" s="3" t="s">
        <v>55</v>
      </c>
      <c r="G50" s="3" t="s">
        <v>56</v>
      </c>
    </row>
    <row r="51" ht="15.75" customHeight="1">
      <c r="B51" s="3" t="s">
        <v>62</v>
      </c>
      <c r="D51" s="31">
        <f>sum(D19:F20)</f>
        <v>13300</v>
      </c>
      <c r="E51" s="31">
        <f>sum(G19:J20)</f>
        <v>34200</v>
      </c>
      <c r="F51" s="31">
        <f>sum(K19:N20)</f>
        <v>54700</v>
      </c>
      <c r="G51" s="31">
        <f>sum(O19:R20)</f>
        <v>94800</v>
      </c>
    </row>
    <row r="52" ht="15.75" customHeight="1">
      <c r="B52" s="3" t="s">
        <v>63</v>
      </c>
      <c r="D52" s="31">
        <f>sum(D24:F24)</f>
        <v>45000</v>
      </c>
      <c r="E52" s="31">
        <f>G22+H22+I22+J22+G24+H24+I24+J24+G26+H26+I26+J26</f>
        <v>182100</v>
      </c>
      <c r="F52" s="31">
        <f>K22+L22+M22+N22+N24+M24+L24+K24+K26+L26+M26+N26</f>
        <v>322500</v>
      </c>
      <c r="G52" s="31">
        <f>O22+P22+Q22+R22+R24+Q24+P24+O24+O26+P26+Q26+R26+R28+Q28+P28+O28+O30+P30+Q30+R30+R32+Q32+P32+O32</f>
        <v>849600</v>
      </c>
    </row>
    <row r="53" ht="15.75" customHeight="1">
      <c r="B53" s="3" t="s">
        <v>64</v>
      </c>
      <c r="D53" s="31">
        <f>sum(C34:F34)</f>
        <v>1430</v>
      </c>
      <c r="E53" s="31">
        <f>sum(G34:J34)</f>
        <v>1640</v>
      </c>
      <c r="F53" s="31">
        <f>sum(K34:N34)</f>
        <v>1910</v>
      </c>
      <c r="G53" s="31">
        <f>sum(O33:R34)</f>
        <v>3750</v>
      </c>
    </row>
    <row r="54" ht="15.75" customHeight="1">
      <c r="B54" s="3" t="s">
        <v>49</v>
      </c>
      <c r="G54" s="31">
        <f>R35</f>
        <v>75000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3">
    <mergeCell ref="C3:H3"/>
    <mergeCell ref="I3:O3"/>
    <mergeCell ref="P3:R3"/>
  </mergeCells>
  <conditionalFormatting sqref="C12">
    <cfRule type="notContainsBlanks" dxfId="0" priority="1">
      <formula>LEN(TRIM(C12))&gt;0</formula>
    </cfRule>
  </conditionalFormatting>
  <conditionalFormatting sqref="A11:R11 S11:S14 T11:AA11">
    <cfRule type="notContainsBlanks" dxfId="0" priority="2">
      <formula>LEN(TRIM(A11))&gt;0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1.38"/>
    <col customWidth="1" min="3" max="3" width="10.88"/>
    <col customWidth="1" min="4" max="4" width="10.75"/>
    <col customWidth="1" min="5" max="5" width="10.88"/>
    <col customWidth="1" min="6" max="6" width="12.0"/>
    <col customWidth="1" min="7" max="7" width="12.13"/>
    <col customWidth="1" min="8" max="8" width="12.88"/>
    <col customWidth="1" min="9" max="10" width="11.5"/>
    <col customWidth="1" min="11" max="11" width="15.0"/>
    <col customWidth="1" min="12" max="12" width="12.63"/>
    <col customWidth="1" min="13" max="13" width="13.88"/>
    <col customWidth="1" min="14" max="14" width="14.63"/>
    <col customWidth="1" min="15" max="26" width="8.0"/>
  </cols>
  <sheetData>
    <row r="1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4"/>
      <c r="B3" s="6" t="s">
        <v>1</v>
      </c>
      <c r="C3" s="7"/>
      <c r="D3" s="7"/>
      <c r="E3" s="7"/>
      <c r="F3" s="8"/>
      <c r="G3" s="38" t="s">
        <v>66</v>
      </c>
      <c r="H3" s="39">
        <v>1.05</v>
      </c>
      <c r="J3" s="40" t="s">
        <v>67</v>
      </c>
      <c r="K3" s="41"/>
    </row>
    <row r="4">
      <c r="A4" s="9" t="s">
        <v>2</v>
      </c>
      <c r="B4" s="11">
        <v>0.0</v>
      </c>
      <c r="C4" s="11">
        <v>1.0</v>
      </c>
      <c r="D4" s="11">
        <v>2.0</v>
      </c>
      <c r="E4" s="11">
        <v>3.0</v>
      </c>
      <c r="F4" s="11">
        <v>4.0</v>
      </c>
      <c r="G4" s="11" t="s">
        <v>68</v>
      </c>
      <c r="H4" s="42" t="s">
        <v>57</v>
      </c>
      <c r="J4" s="43" t="s">
        <v>69</v>
      </c>
      <c r="K4" s="44" t="s">
        <v>70</v>
      </c>
    </row>
    <row r="5">
      <c r="A5" s="45" t="s">
        <v>71</v>
      </c>
      <c r="B5" s="15">
        <f>-Cashflow!B37</f>
        <v>-12000</v>
      </c>
      <c r="C5" s="15">
        <f>Cashflow!F37</f>
        <v>9150</v>
      </c>
      <c r="D5" s="15">
        <f>Cashflow!J37-Cashflow!F37</f>
        <v>37660</v>
      </c>
      <c r="E5" s="15">
        <f>Cashflow!N37-Cashflow!J37</f>
        <v>90890</v>
      </c>
      <c r="F5" s="15">
        <f>Cashflow!R37-Cashflow!N37</f>
        <v>-43614</v>
      </c>
      <c r="G5" s="46">
        <f>SUM(B5:F5)</f>
        <v>82086</v>
      </c>
      <c r="H5" s="37">
        <f>B5 + (C5/$H$3) + (D5/$H$3^2) + (E5/$H$3^3) + (F5/$H$3^4)</f>
        <v>73505.86947</v>
      </c>
      <c r="J5" s="43" t="s">
        <v>72</v>
      </c>
      <c r="K5" s="44" t="s">
        <v>73</v>
      </c>
    </row>
    <row r="6">
      <c r="A6" s="47"/>
      <c r="B6" s="23"/>
      <c r="C6" s="23"/>
      <c r="D6" s="23"/>
      <c r="E6" s="23"/>
      <c r="F6" s="23"/>
      <c r="G6" s="46"/>
      <c r="H6" s="37"/>
      <c r="J6" s="48" t="s">
        <v>74</v>
      </c>
      <c r="K6" s="49" t="s">
        <v>75</v>
      </c>
    </row>
    <row r="7">
      <c r="A7" s="47"/>
      <c r="B7" s="23"/>
      <c r="C7" s="23"/>
      <c r="D7" s="23"/>
      <c r="E7" s="23"/>
      <c r="F7" s="23"/>
      <c r="G7" s="46"/>
      <c r="H7" s="37"/>
    </row>
    <row r="8">
      <c r="A8" s="50"/>
      <c r="B8" s="51"/>
      <c r="C8" s="51"/>
      <c r="D8" s="51"/>
      <c r="E8" s="51"/>
      <c r="F8" s="51"/>
      <c r="G8" s="52"/>
      <c r="H8" s="53"/>
    </row>
    <row r="12">
      <c r="C12" s="54">
        <v>-12000.0</v>
      </c>
      <c r="D12" s="3">
        <v>9150.0</v>
      </c>
      <c r="E12" s="3">
        <v>376660.0</v>
      </c>
      <c r="F12" s="3">
        <v>90890.0</v>
      </c>
      <c r="G12" s="3">
        <v>-43614.0</v>
      </c>
    </row>
    <row r="14">
      <c r="H14" s="55">
        <v>73505.87</v>
      </c>
    </row>
    <row r="21" ht="15.75" customHeight="1"/>
    <row r="22" ht="15.75" customHeight="1">
      <c r="G22" s="37"/>
      <c r="H22" s="15">
        <v>-12000.0</v>
      </c>
      <c r="I22" s="15">
        <v>9150.0</v>
      </c>
      <c r="J22" s="15">
        <v>37660.0</v>
      </c>
      <c r="K22" s="15">
        <v>90890.0</v>
      </c>
      <c r="L22" s="15">
        <v>-43614.0</v>
      </c>
      <c r="M22" s="46">
        <f>SUM(H22:L22)</f>
        <v>82086</v>
      </c>
      <c r="N22" s="37">
        <f>H22 + (I22/$H$3) + (J22/$H$3^2) + (K22/$H$3^3) + (L22/$H$3^4)</f>
        <v>73505.86947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F3"/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1.0"/>
    <col customWidth="1" min="3" max="3" width="13.88"/>
    <col customWidth="1" min="4" max="4" width="13.5"/>
    <col customWidth="1" min="5" max="5" width="12.63"/>
    <col customWidth="1" min="6" max="6" width="12.38"/>
    <col customWidth="1" min="7" max="7" width="12.0"/>
    <col customWidth="1" min="8" max="8" width="11.5"/>
    <col customWidth="1" min="9" max="9" width="8.0"/>
    <col customWidth="1" min="10" max="10" width="16.88"/>
    <col customWidth="1" min="11" max="11" width="15.0"/>
    <col customWidth="1" min="12" max="26" width="8.0"/>
  </cols>
  <sheetData>
    <row r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4"/>
      <c r="B3" s="6" t="s">
        <v>1</v>
      </c>
      <c r="C3" s="7"/>
      <c r="D3" s="7"/>
      <c r="E3" s="7"/>
      <c r="F3" s="8"/>
      <c r="G3" s="39"/>
      <c r="H3" s="39"/>
      <c r="J3" s="40" t="s">
        <v>67</v>
      </c>
      <c r="K3" s="41"/>
    </row>
    <row r="4">
      <c r="A4" s="9" t="s">
        <v>2</v>
      </c>
      <c r="B4" s="11">
        <v>0.0</v>
      </c>
      <c r="C4" s="11">
        <v>1.0</v>
      </c>
      <c r="D4" s="11">
        <v>2.0</v>
      </c>
      <c r="E4" s="11">
        <v>3.0</v>
      </c>
      <c r="F4" s="11">
        <v>4.0</v>
      </c>
      <c r="G4" s="11" t="s">
        <v>68</v>
      </c>
      <c r="H4" s="42" t="s">
        <v>77</v>
      </c>
      <c r="J4" s="43" t="s">
        <v>78</v>
      </c>
      <c r="K4" s="44" t="s">
        <v>70</v>
      </c>
    </row>
    <row r="5">
      <c r="A5" s="45" t="s">
        <v>71</v>
      </c>
      <c r="B5" s="23">
        <f>-Cashflow!B37</f>
        <v>-12000</v>
      </c>
      <c r="C5" s="23">
        <f>Cashflow!F37</f>
        <v>9150</v>
      </c>
      <c r="D5" s="23">
        <f>Cashflow!J37-Cashflow!F37</f>
        <v>37660</v>
      </c>
      <c r="E5" s="23">
        <f>Cashflow!N37-Cashflow!J37</f>
        <v>90890</v>
      </c>
      <c r="F5" s="23">
        <f>Cashflow!R37-Cashflow!N37</f>
        <v>-43614</v>
      </c>
      <c r="G5" s="46">
        <f>SUM(B5:F5)</f>
        <v>82086</v>
      </c>
      <c r="H5" s="56">
        <f>IRR(B5:F5)</f>
        <v>1.740031323</v>
      </c>
      <c r="J5" s="43" t="s">
        <v>79</v>
      </c>
      <c r="K5" s="44" t="s">
        <v>73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B3:F3"/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1.25"/>
    <col customWidth="1" min="3" max="3" width="11.0"/>
    <col customWidth="1" min="4" max="5" width="13.25"/>
    <col customWidth="1" min="6" max="6" width="13.0"/>
    <col customWidth="1" min="7" max="7" width="13.13"/>
    <col customWidth="1" min="8" max="8" width="8.13"/>
    <col customWidth="1" min="9" max="11" width="8.0"/>
    <col customWidth="1" min="12" max="12" width="0.38"/>
    <col customWidth="1" min="13" max="26" width="8.0"/>
  </cols>
  <sheetData>
    <row r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4"/>
      <c r="B3" s="6" t="s">
        <v>1</v>
      </c>
      <c r="C3" s="7"/>
      <c r="D3" s="7"/>
      <c r="E3" s="7"/>
      <c r="F3" s="8"/>
      <c r="G3" s="39"/>
      <c r="H3" s="39"/>
    </row>
    <row r="4">
      <c r="A4" s="9" t="s">
        <v>2</v>
      </c>
      <c r="B4" s="11">
        <v>0.0</v>
      </c>
      <c r="C4" s="11">
        <v>1.0</v>
      </c>
      <c r="D4" s="11">
        <v>2.0</v>
      </c>
      <c r="E4" s="11">
        <v>3.0</v>
      </c>
      <c r="F4" s="11">
        <v>4.0</v>
      </c>
      <c r="G4" s="11" t="s">
        <v>68</v>
      </c>
      <c r="H4" s="42"/>
    </row>
    <row r="5">
      <c r="A5" s="45" t="s">
        <v>81</v>
      </c>
      <c r="B5" s="23">
        <f>-Cashflow!B37</f>
        <v>-12000</v>
      </c>
      <c r="C5" s="15">
        <f>Cashflow!F37</f>
        <v>9150</v>
      </c>
      <c r="D5" s="15">
        <f>Cashflow!J37-Cashflow!F37</f>
        <v>37660</v>
      </c>
      <c r="E5" s="15">
        <f>Cashflow!N37-Cashflow!J37</f>
        <v>90890</v>
      </c>
      <c r="F5" s="15">
        <f>Cashflow!R37-Cashflow!N37</f>
        <v>-43614</v>
      </c>
      <c r="G5" s="46">
        <f>SUM(B5:F5)</f>
        <v>82086</v>
      </c>
      <c r="H5" s="57"/>
    </row>
    <row r="6">
      <c r="A6" s="47"/>
      <c r="B6" s="23"/>
      <c r="C6" s="23"/>
      <c r="D6" s="23"/>
      <c r="E6" s="23"/>
      <c r="F6" s="23"/>
      <c r="G6" s="46"/>
      <c r="H6" s="57"/>
      <c r="M6" s="3"/>
    </row>
    <row r="7">
      <c r="A7" s="47"/>
      <c r="B7" s="23"/>
      <c r="C7" s="23"/>
      <c r="D7" s="23"/>
      <c r="E7" s="23"/>
      <c r="F7" s="23"/>
      <c r="G7" s="46"/>
      <c r="H7" s="57"/>
    </row>
    <row r="8">
      <c r="A8" s="50"/>
      <c r="B8" s="51"/>
      <c r="C8" s="51"/>
      <c r="D8" s="51"/>
      <c r="E8" s="51"/>
      <c r="F8" s="51"/>
      <c r="G8" s="52"/>
      <c r="H8" s="57"/>
    </row>
    <row r="9" ht="3.75" customHeight="1"/>
    <row r="10">
      <c r="A10" s="58" t="s">
        <v>0</v>
      </c>
      <c r="B10" s="59">
        <v>0.0</v>
      </c>
      <c r="C10" s="59">
        <v>1.0</v>
      </c>
      <c r="D10" s="59">
        <v>2.0</v>
      </c>
      <c r="E10" s="59">
        <v>3.0</v>
      </c>
      <c r="F10" s="59">
        <v>4.0</v>
      </c>
      <c r="G10" s="59" t="s">
        <v>80</v>
      </c>
      <c r="H10" s="60" t="s">
        <v>82</v>
      </c>
    </row>
    <row r="11">
      <c r="A11" s="61" t="str">
        <f t="shared" ref="A11:B11" si="1">A5</f>
        <v>Project Medictionary</v>
      </c>
      <c r="B11" s="62">
        <f t="shared" si="1"/>
        <v>-12000</v>
      </c>
      <c r="C11" s="62">
        <f t="shared" ref="C11:F11" si="2">B11+C5</f>
        <v>-2850</v>
      </c>
      <c r="D11" s="62">
        <f t="shared" si="2"/>
        <v>34810</v>
      </c>
      <c r="E11" s="62">
        <f t="shared" si="2"/>
        <v>125700</v>
      </c>
      <c r="F11" s="62">
        <f t="shared" si="2"/>
        <v>82086</v>
      </c>
      <c r="G11" s="63">
        <f>1+(ABS(C11)/F5)</f>
        <v>0.9346540102</v>
      </c>
      <c r="H11" s="64">
        <f>G11*12</f>
        <v>11.21584812</v>
      </c>
      <c r="I11" s="65"/>
      <c r="J11" s="66"/>
    </row>
    <row r="12">
      <c r="A12" s="61" t="str">
        <f t="shared" ref="A12:B12" si="3">A6</f>
        <v/>
      </c>
      <c r="B12" s="62" t="str">
        <f t="shared" si="3"/>
        <v/>
      </c>
      <c r="C12" s="62"/>
      <c r="D12" s="62"/>
      <c r="E12" s="62"/>
      <c r="F12" s="62"/>
      <c r="G12" s="63"/>
      <c r="H12" s="64"/>
    </row>
    <row r="13">
      <c r="A13" s="61" t="str">
        <f t="shared" ref="A13:B13" si="4">A7</f>
        <v/>
      </c>
      <c r="B13" s="62" t="str">
        <f t="shared" si="4"/>
        <v/>
      </c>
      <c r="C13" s="62"/>
      <c r="D13" s="62"/>
      <c r="E13" s="62"/>
      <c r="F13" s="62"/>
      <c r="G13" s="63"/>
      <c r="H13" s="64"/>
    </row>
    <row r="14">
      <c r="A14" s="61" t="str">
        <f t="shared" ref="A14:B14" si="5">A8</f>
        <v/>
      </c>
      <c r="B14" s="67" t="str">
        <f t="shared" si="5"/>
        <v/>
      </c>
      <c r="C14" s="67"/>
      <c r="D14" s="67"/>
      <c r="E14" s="67"/>
      <c r="F14" s="67"/>
      <c r="G14" s="68"/>
      <c r="H14" s="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F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1.25"/>
    <col customWidth="1" min="3" max="3" width="11.5"/>
    <col customWidth="1" min="4" max="4" width="12.75"/>
    <col customWidth="1" min="5" max="5" width="13.25"/>
    <col customWidth="1" min="6" max="6" width="15.5"/>
    <col customWidth="1" min="7" max="7" width="14.63"/>
    <col customWidth="1" min="8" max="8" width="12.63"/>
    <col customWidth="1" min="9" max="26" width="8.0"/>
  </cols>
  <sheetData>
    <row r="1">
      <c r="A1" s="2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4"/>
      <c r="B3" s="6" t="s">
        <v>1</v>
      </c>
      <c r="C3" s="7"/>
      <c r="D3" s="7"/>
      <c r="E3" s="7"/>
      <c r="F3" s="8"/>
      <c r="G3" s="38" t="s">
        <v>66</v>
      </c>
      <c r="H3" s="39">
        <v>1.05</v>
      </c>
    </row>
    <row r="4">
      <c r="A4" s="9" t="s">
        <v>2</v>
      </c>
      <c r="B4" s="11">
        <v>0.0</v>
      </c>
      <c r="C4" s="11">
        <v>1.0</v>
      </c>
      <c r="D4" s="11">
        <v>2.0</v>
      </c>
      <c r="E4" s="11">
        <v>3.0</v>
      </c>
      <c r="F4" s="11">
        <v>4.0</v>
      </c>
      <c r="G4" s="11" t="s">
        <v>68</v>
      </c>
      <c r="H4" s="42" t="s">
        <v>57</v>
      </c>
    </row>
    <row r="5">
      <c r="A5" s="45" t="s">
        <v>81</v>
      </c>
      <c r="B5" s="15">
        <f>-Cashflow!B37</f>
        <v>-12000</v>
      </c>
      <c r="C5" s="15">
        <f>Cashflow!F37</f>
        <v>9150</v>
      </c>
      <c r="D5" s="15">
        <f>Cashflow!J37-Cashflow!F37</f>
        <v>37660</v>
      </c>
      <c r="E5" s="15">
        <f>Cashflow!N37-Cashflow!J37</f>
        <v>90890</v>
      </c>
      <c r="F5" s="15">
        <f>Cashflow!R37-Cashflow!N37</f>
        <v>-43614</v>
      </c>
      <c r="G5" s="46">
        <f>SUM(B5:F5)</f>
        <v>82086</v>
      </c>
      <c r="H5" s="37">
        <f>B5 + (C5/$H$3) + (D5/$H$3^2) + (E5/$H$3^3) + (F5/$H$3^4)</f>
        <v>73505.86947</v>
      </c>
    </row>
    <row r="6">
      <c r="A6" s="47"/>
      <c r="B6" s="23"/>
      <c r="C6" s="23"/>
      <c r="D6" s="23"/>
      <c r="E6" s="23"/>
      <c r="F6" s="23"/>
      <c r="G6" s="46"/>
      <c r="H6" s="37"/>
    </row>
    <row r="7">
      <c r="A7" s="47"/>
      <c r="B7" s="23"/>
      <c r="C7" s="23"/>
      <c r="D7" s="23"/>
      <c r="E7" s="23"/>
      <c r="F7" s="23"/>
      <c r="G7" s="46"/>
      <c r="H7" s="37"/>
    </row>
    <row r="8">
      <c r="A8" s="50"/>
      <c r="B8" s="51"/>
      <c r="C8" s="51"/>
      <c r="D8" s="51"/>
      <c r="E8" s="51"/>
      <c r="F8" s="51"/>
      <c r="G8" s="52"/>
      <c r="H8" s="53"/>
    </row>
    <row r="9" ht="4.5" customHeight="1"/>
    <row r="10">
      <c r="A10" s="58" t="s">
        <v>57</v>
      </c>
      <c r="B10" s="59">
        <v>0.0</v>
      </c>
      <c r="C10" s="59">
        <v>1.0</v>
      </c>
      <c r="D10" s="59">
        <v>2.0</v>
      </c>
      <c r="E10" s="59">
        <v>3.0</v>
      </c>
      <c r="F10" s="59">
        <v>4.0</v>
      </c>
      <c r="G10" s="59" t="s">
        <v>84</v>
      </c>
      <c r="H10" s="60" t="s">
        <v>85</v>
      </c>
    </row>
    <row r="11">
      <c r="A11" s="61" t="str">
        <f t="shared" ref="A11:B11" si="1">A5</f>
        <v>Project Medictionary</v>
      </c>
      <c r="B11" s="62">
        <f t="shared" si="1"/>
        <v>-12000</v>
      </c>
      <c r="C11" s="62">
        <f>C5/($H$3)</f>
        <v>8714.285714</v>
      </c>
      <c r="D11" s="62">
        <f t="shared" ref="D11:F11" si="2">D5/($H$3^D$4)</f>
        <v>34158.73016</v>
      </c>
      <c r="E11" s="62">
        <f t="shared" si="2"/>
        <v>78514.19933</v>
      </c>
      <c r="F11" s="62">
        <f t="shared" si="2"/>
        <v>-35881.34574</v>
      </c>
      <c r="G11" s="46">
        <f>SUM(C11:F11)</f>
        <v>85505.86947</v>
      </c>
      <c r="H11" s="63">
        <f>(SUM(C11:F11)+B11)/-B11</f>
        <v>6.125489122</v>
      </c>
    </row>
    <row r="12">
      <c r="A12" s="61" t="str">
        <f t="shared" ref="A12:B12" si="3">A6</f>
        <v/>
      </c>
      <c r="B12" s="62" t="str">
        <f t="shared" si="3"/>
        <v/>
      </c>
      <c r="C12" s="62"/>
      <c r="D12" s="62"/>
      <c r="E12" s="62"/>
      <c r="F12" s="62"/>
      <c r="G12" s="46"/>
      <c r="H12" s="63"/>
    </row>
    <row r="13">
      <c r="A13" s="61" t="str">
        <f t="shared" ref="A13:B13" si="4">A7</f>
        <v/>
      </c>
      <c r="B13" s="62" t="str">
        <f t="shared" si="4"/>
        <v/>
      </c>
      <c r="C13" s="62"/>
      <c r="D13" s="62"/>
      <c r="E13" s="62"/>
      <c r="F13" s="62"/>
      <c r="G13" s="46"/>
      <c r="H13" s="63"/>
    </row>
    <row r="14">
      <c r="A14" s="61" t="str">
        <f t="shared" ref="A14:B14" si="5">A8</f>
        <v/>
      </c>
      <c r="B14" s="62" t="str">
        <f t="shared" si="5"/>
        <v/>
      </c>
      <c r="C14" s="62"/>
      <c r="D14" s="62"/>
      <c r="E14" s="62"/>
      <c r="F14" s="62"/>
      <c r="G14" s="52"/>
      <c r="H14" s="63"/>
    </row>
    <row r="17">
      <c r="C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F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4" width="11.13"/>
    <col customWidth="1" min="5" max="5" width="8.0"/>
    <col customWidth="1" min="6" max="6" width="0.63"/>
    <col customWidth="1" min="7" max="7" width="24.75"/>
    <col customWidth="1" min="8" max="8" width="13.88"/>
    <col customWidth="1" min="9" max="9" width="14.5"/>
    <col customWidth="1" min="10" max="10" width="20.13"/>
    <col customWidth="1" min="11" max="26" width="8.0"/>
  </cols>
  <sheetData>
    <row r="1">
      <c r="A1" s="2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4"/>
      <c r="B3" s="69" t="s">
        <v>87</v>
      </c>
      <c r="C3" s="7"/>
      <c r="D3" s="41"/>
      <c r="G3" s="4"/>
      <c r="H3" s="69" t="s">
        <v>88</v>
      </c>
      <c r="I3" s="7"/>
      <c r="J3" s="41"/>
    </row>
    <row r="4">
      <c r="A4" s="9" t="s">
        <v>89</v>
      </c>
      <c r="B4" s="12" t="s">
        <v>90</v>
      </c>
      <c r="C4" s="11" t="s">
        <v>91</v>
      </c>
      <c r="D4" s="42" t="s">
        <v>92</v>
      </c>
      <c r="G4" s="9" t="s">
        <v>89</v>
      </c>
      <c r="H4" s="12" t="s">
        <v>90</v>
      </c>
      <c r="I4" s="11" t="s">
        <v>91</v>
      </c>
      <c r="J4" s="42" t="s">
        <v>92</v>
      </c>
    </row>
    <row r="5">
      <c r="A5" s="45" t="s">
        <v>93</v>
      </c>
      <c r="B5" s="70">
        <v>3561.0</v>
      </c>
      <c r="C5" s="70">
        <f>sum(Cashflow!C11:F11)</f>
        <v>7121</v>
      </c>
      <c r="D5" s="71">
        <v>14242.0</v>
      </c>
      <c r="G5" s="45" t="s">
        <v>93</v>
      </c>
      <c r="H5" s="70">
        <v>9235.0</v>
      </c>
      <c r="I5" s="70">
        <f>sum(Cashflow!G11:J11)</f>
        <v>18469</v>
      </c>
      <c r="J5" s="71">
        <v>36938.0</v>
      </c>
    </row>
    <row r="6">
      <c r="A6" s="45" t="s">
        <v>94</v>
      </c>
      <c r="B6" s="70">
        <v>1185.0</v>
      </c>
      <c r="C6" s="70">
        <f>sum(Cashflow!C13:F13)</f>
        <v>2370</v>
      </c>
      <c r="D6" s="72">
        <v>4740.0</v>
      </c>
      <c r="G6" s="45" t="s">
        <v>94</v>
      </c>
      <c r="H6" s="70">
        <f>round(3568+B6/100*85,0)</f>
        <v>4575</v>
      </c>
      <c r="I6" s="70">
        <f>round(sum(Cashflow!G13:J13)+C6/100*90,0)</f>
        <v>9150</v>
      </c>
      <c r="J6" s="72">
        <f>round(14271+D6/100*85,0)</f>
        <v>18300</v>
      </c>
    </row>
    <row r="7">
      <c r="A7" s="45" t="s">
        <v>60</v>
      </c>
      <c r="B7" s="70"/>
      <c r="C7" s="70">
        <f>sum(Cashflow!C5:F10)</f>
        <v>0</v>
      </c>
      <c r="D7" s="72">
        <v>24000.0</v>
      </c>
      <c r="G7" s="45" t="s">
        <v>60</v>
      </c>
      <c r="H7" s="70">
        <v>12000.0</v>
      </c>
      <c r="I7" s="70">
        <f>sum(Cashflow!G5:J5)+sum(Cashflow!G6:J6)+sum(Cashflow!G7:J7)+sum(Cashflow!G8:J8)+sum(Cashflow!G9:J9)+sum(Cashflow!G10:J10)</f>
        <v>36000</v>
      </c>
      <c r="J7" s="72">
        <v>48000.0</v>
      </c>
    </row>
    <row r="8">
      <c r="A8" s="45" t="s">
        <v>3</v>
      </c>
      <c r="B8" s="70">
        <v>6000.0</v>
      </c>
      <c r="C8" s="70">
        <v>12000.0</v>
      </c>
      <c r="D8" s="72">
        <v>24000.0</v>
      </c>
      <c r="G8" s="45"/>
      <c r="H8" s="70"/>
      <c r="I8" s="70"/>
      <c r="J8" s="72"/>
    </row>
    <row r="9">
      <c r="A9" s="47" t="s">
        <v>95</v>
      </c>
      <c r="B9" s="15">
        <v>24.0</v>
      </c>
      <c r="C9" s="15">
        <v>24.0</v>
      </c>
      <c r="D9" s="15">
        <v>24.0</v>
      </c>
      <c r="G9" s="47" t="s">
        <v>95</v>
      </c>
      <c r="H9" s="15">
        <v>24.0</v>
      </c>
      <c r="I9" s="15">
        <v>24.0</v>
      </c>
      <c r="J9" s="15">
        <v>24.0</v>
      </c>
    </row>
    <row r="10">
      <c r="A10" s="47" t="s">
        <v>51</v>
      </c>
      <c r="B10" s="23">
        <f t="shared" ref="B10:D10" si="1">B9*B6+B7+B8</f>
        <v>34440</v>
      </c>
      <c r="C10" s="23">
        <f t="shared" si="1"/>
        <v>68880</v>
      </c>
      <c r="D10" s="23">
        <f t="shared" si="1"/>
        <v>161760</v>
      </c>
      <c r="G10" s="47" t="s">
        <v>51</v>
      </c>
      <c r="H10" s="23">
        <f>H9*H5</f>
        <v>221640</v>
      </c>
      <c r="I10" s="23">
        <f t="shared" ref="I10:J10" si="2">I9*I6+I7</f>
        <v>255600</v>
      </c>
      <c r="J10" s="23">
        <f t="shared" si="2"/>
        <v>487200</v>
      </c>
    </row>
    <row r="11">
      <c r="A11" s="47" t="s">
        <v>61</v>
      </c>
      <c r="B11" s="15">
        <f t="shared" ref="B11:D11" si="3">sum(B12:B13)</f>
        <v>59560</v>
      </c>
      <c r="C11" s="15">
        <f t="shared" si="3"/>
        <v>59730</v>
      </c>
      <c r="D11" s="15">
        <f t="shared" si="3"/>
        <v>59980</v>
      </c>
      <c r="G11" s="47" t="s">
        <v>61</v>
      </c>
      <c r="H11" s="15">
        <f t="shared" ref="H11:I11" si="4">sum(H12:H13)</f>
        <v>217745</v>
      </c>
      <c r="I11" s="15">
        <f t="shared" si="4"/>
        <v>217940</v>
      </c>
      <c r="J11" s="15">
        <f>sum(J12,J13)</f>
        <v>218220</v>
      </c>
    </row>
    <row r="12">
      <c r="A12" s="73" t="s">
        <v>96</v>
      </c>
      <c r="B12" s="15">
        <f>sum(Cashflow!C24:F24)+sum(Cashflow!C22:F22)+sum(Cashflow!C20:F20)+sum(Cashflow!C19:F19)+sum(Cashflow!C26:F26)</f>
        <v>58300</v>
      </c>
      <c r="C12" s="23">
        <f>sum(Cashflow!C24:F24)+sum(Cashflow!C22:F22)+sum(Cashflow!C20:F20)+sum(Cashflow!C19:F19)+sum(Cashflow!C26:F26)</f>
        <v>58300</v>
      </c>
      <c r="D12" s="15">
        <f>sum(Cashflow!C24:F24)+sum(Cashflow!C22:F22)+sum(Cashflow!C20:F20)+sum(Cashflow!C19:F19)+sum(Cashflow!C26:F26)</f>
        <v>58300</v>
      </c>
      <c r="G12" s="73" t="s">
        <v>96</v>
      </c>
      <c r="H12" s="15">
        <f>sum(Cashflow!G24:J24)+sum(Cashflow!G22:J22)+sum(Cashflow!G20:J20)+sum(Cashflow!G19:J19)+sum(Cashflow!G26:J26)</f>
        <v>216300</v>
      </c>
      <c r="I12" s="23">
        <f>sum(Cashflow!G24:J24)+sum(Cashflow!G22:J22)+sum(Cashflow!G20:J20)+sum(Cashflow!G19:J19)+sum(Cashflow!G26:J26)</f>
        <v>216300</v>
      </c>
      <c r="J12" s="15">
        <f>sum(Cashflow!G24:J24)+sum(Cashflow!G22:J22)+sum(Cashflow!G20:J20)+sum(Cashflow!G19:J19)+sum(Cashflow!G26:J26)</f>
        <v>216300</v>
      </c>
    </row>
    <row r="13">
      <c r="A13" s="73" t="s">
        <v>97</v>
      </c>
      <c r="B13" s="15">
        <v>1260.0</v>
      </c>
      <c r="C13" s="23">
        <f>sum(Cashflow!C34:F34)</f>
        <v>1430</v>
      </c>
      <c r="D13" s="15">
        <v>1680.0</v>
      </c>
      <c r="G13" s="73" t="s">
        <v>97</v>
      </c>
      <c r="H13" s="15">
        <v>1445.0</v>
      </c>
      <c r="I13" s="23">
        <f>sum(Cashflow!G34:J34)</f>
        <v>1640</v>
      </c>
      <c r="J13" s="15">
        <v>1920.0</v>
      </c>
    </row>
    <row r="14">
      <c r="A14" s="74" t="s">
        <v>98</v>
      </c>
      <c r="B14" s="52">
        <f t="shared" ref="B14:D14" si="5">B10-B13-B12</f>
        <v>-25120</v>
      </c>
      <c r="C14" s="52">
        <f t="shared" si="5"/>
        <v>9150</v>
      </c>
      <c r="D14" s="52">
        <f t="shared" si="5"/>
        <v>101780</v>
      </c>
      <c r="G14" s="74" t="s">
        <v>98</v>
      </c>
      <c r="H14" s="52">
        <f t="shared" ref="H14:J14" si="6">H10-H13-H12</f>
        <v>3895</v>
      </c>
      <c r="I14" s="52">
        <f t="shared" si="6"/>
        <v>37660</v>
      </c>
      <c r="J14" s="52">
        <f t="shared" si="6"/>
        <v>268980</v>
      </c>
    </row>
    <row r="15">
      <c r="A15" s="3" t="s">
        <v>99</v>
      </c>
      <c r="B15" s="75">
        <f t="shared" ref="B15:D15" si="7">B11/B6</f>
        <v>50.26160338</v>
      </c>
      <c r="C15" s="75">
        <f t="shared" si="7"/>
        <v>25.20253165</v>
      </c>
      <c r="D15" s="75">
        <f t="shared" si="7"/>
        <v>12.65400844</v>
      </c>
      <c r="G15" s="3" t="s">
        <v>99</v>
      </c>
      <c r="H15" s="75">
        <f t="shared" ref="H15:J15" si="8">H11/H6</f>
        <v>47.59453552</v>
      </c>
      <c r="I15" s="75">
        <f t="shared" si="8"/>
        <v>23.81857923</v>
      </c>
      <c r="J15" s="75">
        <f t="shared" si="8"/>
        <v>11.92459016</v>
      </c>
    </row>
    <row r="16">
      <c r="C16" s="65"/>
      <c r="D16" s="65"/>
    </row>
    <row r="17">
      <c r="A17" s="4"/>
      <c r="B17" s="69" t="s">
        <v>100</v>
      </c>
      <c r="C17" s="7"/>
      <c r="D17" s="41"/>
      <c r="G17" s="4"/>
      <c r="H17" s="69" t="s">
        <v>101</v>
      </c>
      <c r="I17" s="7"/>
      <c r="J17" s="41"/>
    </row>
    <row r="18">
      <c r="A18" s="9" t="s">
        <v>89</v>
      </c>
      <c r="B18" s="12" t="s">
        <v>90</v>
      </c>
      <c r="C18" s="11" t="s">
        <v>91</v>
      </c>
      <c r="D18" s="42" t="s">
        <v>92</v>
      </c>
      <c r="G18" s="9" t="s">
        <v>89</v>
      </c>
      <c r="H18" s="12" t="s">
        <v>90</v>
      </c>
      <c r="I18" s="11" t="s">
        <v>91</v>
      </c>
      <c r="J18" s="42" t="s">
        <v>92</v>
      </c>
    </row>
    <row r="19">
      <c r="A19" s="45" t="s">
        <v>93</v>
      </c>
      <c r="B19" s="70">
        <v>16467.0</v>
      </c>
      <c r="C19" s="70">
        <f>sum(Cashflow!K11:N11)</f>
        <v>32933</v>
      </c>
      <c r="D19" s="71">
        <v>65866.0</v>
      </c>
      <c r="G19" s="45" t="s">
        <v>93</v>
      </c>
      <c r="H19" s="70">
        <v>27867.0</v>
      </c>
      <c r="I19" s="70">
        <f>sum(Cashflow!O11:R11)</f>
        <v>55733</v>
      </c>
      <c r="J19" s="71">
        <v>111466.0</v>
      </c>
    </row>
    <row r="20">
      <c r="A20" s="45" t="s">
        <v>94</v>
      </c>
      <c r="B20" s="70">
        <f>round(5799+H6/100*85,0)</f>
        <v>9688</v>
      </c>
      <c r="C20" s="70">
        <f>round(sum(Cashflow!K13:N13)+I6/100*90,0)</f>
        <v>19376</v>
      </c>
      <c r="D20" s="72">
        <f>round(23197+J6/100*85,0)</f>
        <v>38752</v>
      </c>
      <c r="G20" s="45" t="s">
        <v>94</v>
      </c>
      <c r="H20" s="70">
        <f>round(9423+B20/100*85,0)</f>
        <v>17658</v>
      </c>
      <c r="I20" s="70">
        <f>round(sum(Cashflow!O13:R13)+C20/100*90,0)</f>
        <v>35315</v>
      </c>
      <c r="J20" s="72">
        <f>round(37691+D20/100*85,0)</f>
        <v>70630</v>
      </c>
    </row>
    <row r="21">
      <c r="A21" s="45" t="s">
        <v>60</v>
      </c>
      <c r="B21" s="70">
        <v>36000.0</v>
      </c>
      <c r="C21" s="70">
        <f>sum(Cashflow!K5:N10)</f>
        <v>60000</v>
      </c>
      <c r="D21" s="72">
        <v>81000.0</v>
      </c>
      <c r="G21" s="45" t="s">
        <v>60</v>
      </c>
      <c r="H21" s="70">
        <v>114000.0</v>
      </c>
      <c r="I21" s="70">
        <f>sum(Cashflow!O5:R10)</f>
        <v>132000</v>
      </c>
      <c r="J21" s="72">
        <v>141000.0</v>
      </c>
    </row>
    <row r="22">
      <c r="A22" s="47" t="s">
        <v>95</v>
      </c>
      <c r="B22" s="15">
        <v>24.0</v>
      </c>
      <c r="C22" s="15">
        <v>24.0</v>
      </c>
      <c r="D22" s="15">
        <v>24.0</v>
      </c>
      <c r="G22" s="47" t="s">
        <v>95</v>
      </c>
      <c r="H22" s="15">
        <v>24.0</v>
      </c>
      <c r="I22" s="15">
        <v>24.0</v>
      </c>
      <c r="J22" s="15">
        <v>24.0</v>
      </c>
    </row>
    <row r="23">
      <c r="A23" s="47" t="s">
        <v>51</v>
      </c>
      <c r="B23" s="23">
        <f t="shared" ref="B23:D23" si="9">B22*B20+B21</f>
        <v>268512</v>
      </c>
      <c r="C23" s="23">
        <f t="shared" si="9"/>
        <v>525024</v>
      </c>
      <c r="D23" s="23">
        <f t="shared" si="9"/>
        <v>1011048</v>
      </c>
      <c r="G23" s="47" t="s">
        <v>51</v>
      </c>
      <c r="H23" s="23">
        <f t="shared" ref="H23:J23" si="10">H22*H20+H21</f>
        <v>537792</v>
      </c>
      <c r="I23" s="23">
        <f t="shared" si="10"/>
        <v>979560</v>
      </c>
      <c r="J23" s="23">
        <f t="shared" si="10"/>
        <v>1836120</v>
      </c>
    </row>
    <row r="24">
      <c r="A24" s="47" t="s">
        <v>61</v>
      </c>
      <c r="B24" s="15">
        <f t="shared" ref="B24:D24" si="11">sum(B25:B26)</f>
        <v>378880</v>
      </c>
      <c r="C24" s="15">
        <f t="shared" si="11"/>
        <v>379110</v>
      </c>
      <c r="D24" s="15">
        <f t="shared" si="11"/>
        <v>379435</v>
      </c>
      <c r="G24" s="47" t="s">
        <v>61</v>
      </c>
      <c r="H24" s="15">
        <f t="shared" ref="H24:J24" si="12">sum(H25:H26)</f>
        <v>428200</v>
      </c>
      <c r="I24" s="15">
        <f t="shared" si="12"/>
        <v>428550</v>
      </c>
      <c r="J24" s="15">
        <f t="shared" si="12"/>
        <v>428800</v>
      </c>
    </row>
    <row r="25" ht="15.75" customHeight="1">
      <c r="A25" s="73" t="s">
        <v>96</v>
      </c>
      <c r="B25" s="15">
        <f>sum(Cashflow!K24:N24)+sum(Cashflow!K22:N22)+sum(Cashflow!K20:N20)+sum(Cashflow!K19:N19)+sum(Cashflow!K26:N26)</f>
        <v>377200</v>
      </c>
      <c r="C25" s="23">
        <f>sum(Cashflow!K24:N24)+sum(Cashflow!K22:N22)+sum(Cashflow!K20:N20)+sum(Cashflow!K19:N19)+sum(Cashflow!K26:N26)</f>
        <v>377200</v>
      </c>
      <c r="D25" s="15">
        <f>sum(Cashflow!K24:N24)+sum(Cashflow!K22:N22)+sum(Cashflow!K20:N20)+sum(Cashflow!K19:N19)+sum(Cashflow!K26:N26)</f>
        <v>377200</v>
      </c>
      <c r="G25" s="73" t="s">
        <v>96</v>
      </c>
      <c r="H25" s="15">
        <f>sum(Cashflow!O24:R24)+sum(Cashflow!O22:R22)+sum(Cashflow!O20:R20)+sum(Cashflow!O19:R19)+sum(Cashflow!O26:R26)</f>
        <v>424800</v>
      </c>
      <c r="I25" s="23">
        <f>sum(Cashflow!O24:R24)+sum(Cashflow!O22:R22)+sum(Cashflow!O20:R20)+sum(Cashflow!O19:R19)+sum(Cashflow!O26:R26)</f>
        <v>424800</v>
      </c>
      <c r="J25" s="15">
        <f>sum(Cashflow!O24:R24)+sum(Cashflow!O22:R22)+sum(Cashflow!O20:R20)+sum(Cashflow!O19:R19)+sum(Cashflow!O26:R26)</f>
        <v>424800</v>
      </c>
    </row>
    <row r="26" ht="15.75" customHeight="1">
      <c r="A26" s="73" t="s">
        <v>97</v>
      </c>
      <c r="B26" s="15">
        <v>1680.0</v>
      </c>
      <c r="C26" s="23">
        <f>sum(Cashflow!K34:N34)</f>
        <v>1910</v>
      </c>
      <c r="D26" s="15">
        <v>2235.0</v>
      </c>
      <c r="G26" s="73" t="s">
        <v>97</v>
      </c>
      <c r="H26" s="15">
        <v>3400.0</v>
      </c>
      <c r="I26" s="23">
        <f>sum(Cashflow!O34:R34)+sum(Cashflow!O33:R33)</f>
        <v>3750</v>
      </c>
      <c r="J26" s="15">
        <v>4000.0</v>
      </c>
    </row>
    <row r="27" ht="15.75" customHeight="1">
      <c r="A27" s="74" t="s">
        <v>98</v>
      </c>
      <c r="B27" s="52">
        <f t="shared" ref="B27:D27" si="13">B23-B26-B25</f>
        <v>-110368</v>
      </c>
      <c r="C27" s="52">
        <f t="shared" si="13"/>
        <v>145914</v>
      </c>
      <c r="D27" s="52">
        <f t="shared" si="13"/>
        <v>631613</v>
      </c>
      <c r="G27" s="74" t="s">
        <v>98</v>
      </c>
      <c r="H27" s="52">
        <f t="shared" ref="H27:J27" si="14">H23-H26-H25</f>
        <v>109592</v>
      </c>
      <c r="I27" s="52">
        <f t="shared" si="14"/>
        <v>551010</v>
      </c>
      <c r="J27" s="52">
        <f t="shared" si="14"/>
        <v>1407320</v>
      </c>
    </row>
    <row r="28" ht="15.75" customHeight="1">
      <c r="A28" s="3" t="s">
        <v>99</v>
      </c>
      <c r="B28" s="75">
        <f t="shared" ref="B28:D28" si="15">B24/B20</f>
        <v>39.10817506</v>
      </c>
      <c r="C28" s="75">
        <f t="shared" si="15"/>
        <v>19.56595789</v>
      </c>
      <c r="D28" s="75">
        <f t="shared" si="15"/>
        <v>9.791365607</v>
      </c>
      <c r="G28" s="3" t="s">
        <v>99</v>
      </c>
      <c r="H28" s="75">
        <f t="shared" ref="H28:J28" si="16">H24/H20</f>
        <v>24.24963189</v>
      </c>
      <c r="I28" s="75">
        <f t="shared" si="16"/>
        <v>12.13507008</v>
      </c>
      <c r="J28" s="75">
        <f t="shared" si="16"/>
        <v>6.071074614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">
    <mergeCell ref="B3:D3"/>
    <mergeCell ref="H3:J3"/>
    <mergeCell ref="B17:D17"/>
    <mergeCell ref="H17:J1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