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chartsheets/sheet1.xml" ContentType="application/vnd.openxmlformats-officedocument.spreadsheetml.chart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drawings/drawing2.xml" ContentType="application/vnd.openxmlformats-officedocument.drawing+xml"/>
  <Override PartName="/xl/slicers/slicer1.xml" ContentType="application/vnd.ms-excel.slicer+xml"/>
  <Override PartName="/xl/pivotTables/pivotTable8.xml" ContentType="application/vnd.openxmlformats-officedocument.spreadsheetml.pivotTable+xml"/>
  <Override PartName="/xl/drawings/drawing3.xml" ContentType="application/vnd.openxmlformats-officedocument.drawing+xml"/>
  <Override PartName="/xl/charts/chart2.xml" ContentType="application/vnd.openxmlformats-officedocument.drawingml.chart+xml"/>
  <Override PartName="/xl/charts/chart3.xml" ContentType="application/vnd.openxmlformats-officedocument.drawingml.chart+xml"/>
  <Override PartName="/xl/pivotTables/pivotTable9.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drawings/drawing5.xml" ContentType="application/vnd.openxmlformats-officedocument.drawing+xml"/>
  <Override PartName="/xl/charts/chart5.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10.xml" ContentType="application/vnd.openxmlformats-officedocument.spreadsheetml.pivotTable+xml"/>
  <Override PartName="/xl/drawings/drawing6.xml" ContentType="application/vnd.openxmlformats-officedocument.drawing+xml"/>
  <Override PartName="/xl/charts/chart6.xml" ContentType="application/vnd.openxmlformats-officedocument.drawingml.chart+xml"/>
  <Override PartName="/xl/drawings/drawing7.xml" ContentType="application/vnd.openxmlformats-officedocument.drawing+xml"/>
  <Override PartName="/xl/charts/chart7.xml" ContentType="application/vnd.openxmlformats-officedocument.drawingml.chart+xml"/>
  <Override PartName="/xl/charts/style2.xml" ContentType="application/vnd.ms-office.chartstyle+xml"/>
  <Override PartName="/xl/charts/colors2.xml" ContentType="application/vnd.ms-office.chartcolorstyle+xml"/>
  <Override PartName="/xl/charts/chart8.xml" ContentType="application/vnd.openxmlformats-officedocument.drawingml.chart+xml"/>
  <Override PartName="/xl/charts/style3.xml" ContentType="application/vnd.ms-office.chartstyle+xml"/>
  <Override PartName="/xl/charts/colors3.xml" ContentType="application/vnd.ms-office.chartcolorstyle+xml"/>
  <Override PartName="/xl/charts/chart9.xml" ContentType="application/vnd.openxmlformats-officedocument.drawingml.chart+xml"/>
  <Override PartName="/xl/charts/style4.xml" ContentType="application/vnd.ms-office.chartstyle+xml"/>
  <Override PartName="/xl/charts/colors4.xml" ContentType="application/vnd.ms-office.chartcolorstyle+xml"/>
  <Override PartName="/xl/drawings/drawing8.xml" ContentType="application/vnd.openxmlformats-officedocument.drawing+xml"/>
  <Override PartName="/xl/charts/chart10.xml" ContentType="application/vnd.openxmlformats-officedocument.drawingml.chart+xml"/>
  <Override PartName="/xl/charts/style5.xml" ContentType="application/vnd.ms-office.chartstyle+xml"/>
  <Override PartName="/xl/charts/colors5.xml" ContentType="application/vnd.ms-office.chartcolorstyle+xml"/>
  <Override PartName="/xl/charts/chart11.xml" ContentType="application/vnd.openxmlformats-officedocument.drawingml.chart+xml"/>
  <Override PartName="/xl/charts/style6.xml" ContentType="application/vnd.ms-office.chartstyle+xml"/>
  <Override PartName="/xl/charts/colors6.xml" ContentType="application/vnd.ms-office.chartcolorstyle+xml"/>
  <Override PartName="/xl/charts/chart12.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11.xml" ContentType="application/vnd.openxmlformats-officedocument.spreadsheetml.pivotTable+xml"/>
  <Override PartName="/xl/pivotTables/pivotTable12.xml" ContentType="application/vnd.openxmlformats-officedocument.spreadsheetml.pivotTable+xml"/>
  <Override PartName="/xl/drawings/drawing9.xml" ContentType="application/vnd.openxmlformats-officedocument.drawing+xml"/>
  <Override PartName="/xl/charts/chart13.xml" ContentType="application/vnd.openxmlformats-officedocument.drawingml.chart+xml"/>
  <Override PartName="/xl/charts/style8.xml" ContentType="application/vnd.ms-office.chartstyle+xml"/>
  <Override PartName="/xl/charts/colors8.xml" ContentType="application/vnd.ms-office.chartcolorstyle+xml"/>
  <Override PartName="/xl/pivotTables/pivotTable13.xml" ContentType="application/vnd.openxmlformats-officedocument.spreadsheetml.pivotTable+xml"/>
  <Override PartName="/xl/drawings/drawing10.xml" ContentType="application/vnd.openxmlformats-officedocument.drawing+xml"/>
  <Override PartName="/xl/charts/chart14.xml" ContentType="application/vnd.openxmlformats-officedocument.drawingml.chart+xml"/>
  <Override PartName="/xl/charts/style9.xml" ContentType="application/vnd.ms-office.chartstyle+xml"/>
  <Override PartName="/xl/charts/colors9.xml" ContentType="application/vnd.ms-office.chartcolorstyle+xml"/>
  <Override PartName="/xl/drawings/drawing11.xml" ContentType="application/vnd.openxmlformats-officedocument.drawing+xml"/>
  <Override PartName="/xl/slicers/slicer2.xml" ContentType="application/vnd.ms-excel.slicer+xml"/>
  <Override PartName="/xl/charts/chart15.xml" ContentType="application/vnd.openxmlformats-officedocument.drawingml.chart+xml"/>
  <Override PartName="/xl/charts/style10.xml" ContentType="application/vnd.ms-office.chartstyle+xml"/>
  <Override PartName="/xl/charts/colors10.xml" ContentType="application/vnd.ms-office.chartcolorstyle+xml"/>
  <Override PartName="/xl/charts/chart16.xml" ContentType="application/vnd.openxmlformats-officedocument.drawingml.chart+xml"/>
  <Override PartName="/xl/charts/style11.xml" ContentType="application/vnd.ms-office.chartstyle+xml"/>
  <Override PartName="/xl/charts/colors11.xml" ContentType="application/vnd.ms-office.chartcolorstyle+xml"/>
  <Override PartName="/xl/charts/chart17.xml" ContentType="application/vnd.openxmlformats-officedocument.drawingml.chart+xml"/>
  <Override PartName="/xl/charts/style12.xml" ContentType="application/vnd.ms-office.chartstyle+xml"/>
  <Override PartName="/xl/charts/colors12.xml" ContentType="application/vnd.ms-office.chartcolorstyle+xml"/>
  <Override PartName="/xl/pivotTables/pivotTable14.xml" ContentType="application/vnd.openxmlformats-officedocument.spreadsheetml.pivotTable+xml"/>
  <Override PartName="/xl/drawings/drawing12.xml" ContentType="application/vnd.openxmlformats-officedocument.drawing+xml"/>
  <Override PartName="/xl/charts/chart18.xml" ContentType="application/vnd.openxmlformats-officedocument.drawingml.chart+xml"/>
  <Override PartName="/xl/charts/style13.xml" ContentType="application/vnd.ms-office.chartstyle+xml"/>
  <Override PartName="/xl/charts/colors13.xml" ContentType="application/vnd.ms-office.chartcolorstyle+xml"/>
  <Override PartName="/xl/drawings/drawing13.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charts/chart19.xml" ContentType="application/vnd.openxmlformats-officedocument.drawingml.chart+xml"/>
  <Override PartName="/xl/charts/style14.xml" ContentType="application/vnd.ms-office.chartstyle+xml"/>
  <Override PartName="/xl/charts/colors14.xml" ContentType="application/vnd.ms-office.chartcolorstyle+xml"/>
  <Override PartName="/xl/tables/table3.xml" ContentType="application/vnd.openxmlformats-officedocument.spreadsheetml.table+xml"/>
  <Override PartName="/xl/tables/table4.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hidePivotFieldList="1" defaultThemeVersion="124226"/>
  <mc:AlternateContent xmlns:mc="http://schemas.openxmlformats.org/markup-compatibility/2006">
    <mc:Choice Requires="x15">
      <x15ac:absPath xmlns:x15ac="http://schemas.microsoft.com/office/spreadsheetml/2010/11/ac" url="C:\Users\Jubril yusuf Danjuma\Desktop\portfolio project\"/>
    </mc:Choice>
  </mc:AlternateContent>
  <bookViews>
    <workbookView showSheetTabs="0" xWindow="240" yWindow="135" windowWidth="20115" windowHeight="8010" firstSheet="28" activeTab="28"/>
  </bookViews>
  <sheets>
    <sheet name="Sheet1" sheetId="1" r:id="rId1"/>
    <sheet name="Sheet2" sheetId="2" r:id="rId2"/>
    <sheet name="Sheet3" sheetId="3" r:id="rId3"/>
    <sheet name="Sheet4" sheetId="4" r:id="rId4"/>
    <sheet name="Sheet5" sheetId="5" r:id="rId5"/>
    <sheet name="Sheet6" sheetId="6" r:id="rId6"/>
    <sheet name="Sheet7" sheetId="7" r:id="rId7"/>
    <sheet name="pivot1" sheetId="14" r:id="rId8"/>
    <sheet name="pivot2" sheetId="15" r:id="rId9"/>
    <sheet name="Sheet15" sheetId="16" r:id="rId10"/>
    <sheet name="Sheet18" sheetId="19" r:id="rId11"/>
    <sheet name="Sheet14" sheetId="20" r:id="rId12"/>
    <sheet name="bar graph" sheetId="25" r:id="rId13"/>
    <sheet name="chat" sheetId="24" r:id="rId14"/>
    <sheet name="Sheet16" sheetId="21" r:id="rId15"/>
    <sheet name="Sheet17" sheetId="22" r:id="rId16"/>
    <sheet name="Sheet19" sheetId="23" r:id="rId17"/>
    <sheet name="Sheet20" sheetId="26" r:id="rId18"/>
    <sheet name="Sheet21" sheetId="27" r:id="rId19"/>
    <sheet name="histogram 2" sheetId="30" r:id="rId20"/>
    <sheet name="histogram" sheetId="29" r:id="rId21"/>
    <sheet name="Sheet22" sheetId="28" r:id="rId22"/>
    <sheet name="Dashboard" sheetId="34" r:id="rId23"/>
    <sheet name="Sheet26" sheetId="33" r:id="rId24"/>
    <sheet name="Sheet25" sheetId="32" r:id="rId25"/>
    <sheet name="Sheet24" sheetId="31" r:id="rId26"/>
    <sheet name="teritory" sheetId="35" r:id="rId27"/>
    <sheet name="product" sheetId="36" r:id="rId28"/>
    <sheet name="Dashboard2" sheetId="38" r:id="rId29"/>
    <sheet name="state" sheetId="37" r:id="rId30"/>
    <sheet name="data table" sheetId="46" r:id="rId31"/>
    <sheet name="Scenario Summary" sheetId="45" r:id="rId32"/>
    <sheet name="scenario MG" sheetId="44" r:id="rId33"/>
    <sheet name="goal seek" sheetId="43" r:id="rId34"/>
    <sheet name="Sheet23" sheetId="42" r:id="rId35"/>
    <sheet name="Sheet28" sheetId="41" r:id="rId36"/>
    <sheet name="forecast" sheetId="39" r:id="rId37"/>
    <sheet name="Sheet8" sheetId="8" r:id="rId38"/>
    <sheet name="Sheet9" sheetId="9" r:id="rId39"/>
    <sheet name="Sheet10" sheetId="10" r:id="rId40"/>
    <sheet name="Sheet11" sheetId="11" r:id="rId41"/>
    <sheet name="Sheet12" sheetId="12" r:id="rId42"/>
    <sheet name="Sheet13" sheetId="13" r:id="rId43"/>
  </sheets>
  <definedNames>
    <definedName name="_xlchart.0" hidden="1">'histogram 2'!$C$1</definedName>
    <definedName name="_xlchart.1" hidden="1">'histogram 2'!$C$2:$C$11</definedName>
    <definedName name="_xlchart.10" hidden="1">Sheet25!$B$4:$B$13</definedName>
    <definedName name="_xlchart.11" hidden="1">Sheet25!$A$4:$A$13</definedName>
    <definedName name="_xlchart.12" hidden="1">Sheet25!$B$3</definedName>
    <definedName name="_xlchart.13" hidden="1">Sheet25!$B$4:$B$13</definedName>
    <definedName name="_xlchart.14" hidden="1">Sheet25!$A$4:$A$13</definedName>
    <definedName name="_xlchart.15" hidden="1">Sheet25!$B$3</definedName>
    <definedName name="_xlchart.16" hidden="1">Sheet25!$B$4:$B$13</definedName>
    <definedName name="_xlchart.17" hidden="1">Sheet25!$A$4:$A$13</definedName>
    <definedName name="_xlchart.18" hidden="1">Sheet25!$B$3</definedName>
    <definedName name="_xlchart.19" hidden="1">Sheet25!$B$4:$B$13</definedName>
    <definedName name="_xlchart.2" hidden="1">Sheet25!$A$4:$A$13</definedName>
    <definedName name="_xlchart.3" hidden="1">Sheet25!$B$3</definedName>
    <definedName name="_xlchart.4" hidden="1">Sheet25!$B$4:$B$13</definedName>
    <definedName name="_xlchart.5" hidden="1">Sheet25!$A$4:$A$13</definedName>
    <definedName name="_xlchart.6" hidden="1">Sheet25!$B$3</definedName>
    <definedName name="_xlchart.7" hidden="1">Sheet25!$B$4:$B$13</definedName>
    <definedName name="_xlchart.8" hidden="1">Sheet25!$A$4:$A$13</definedName>
    <definedName name="_xlchart.9" hidden="1">Sheet25!$B$3</definedName>
    <definedName name="Area_Code">Sheet8!$A$2:$A$1048576</definedName>
    <definedName name="Marked_Price">Sheet8!$H$2:$H$1048576</definedName>
    <definedName name="marketing">'scenario MG'!$B$4</definedName>
    <definedName name="miscellaneous">'scenario MG'!$B$7</definedName>
    <definedName name="monthly_sales">'scenario MG'!$B$1</definedName>
    <definedName name="NativeTimeline_Date">#N/A</definedName>
    <definedName name="office_rent">'scenario MG'!$B$6</definedName>
    <definedName name="Product">Sheet8!$B$2:$B$1048576</definedName>
    <definedName name="Product_Type">Sheet8!$C$2:$C$1048576</definedName>
    <definedName name="Profit">Sheet8!$G$2:$G$1048576</definedName>
    <definedName name="salaries">'scenario MG'!$B$5</definedName>
    <definedName name="Slicer_Product">#N/A</definedName>
    <definedName name="Slicer_Product_Type">#N/A</definedName>
    <definedName name="Slicer_State">#N/A</definedName>
    <definedName name="Slicer_Teritory">#N/A</definedName>
    <definedName name="State">Sheet8!$D$2:$D$1048576</definedName>
    <definedName name="superstore">Sheet9!$A$3:$B$12</definedName>
    <definedName name="Target_Profit">Sheet8!$F$2:$F$1048576</definedName>
    <definedName name="Teritory">Sheet8!$E$2:$E$1048576</definedName>
  </definedNames>
  <calcPr calcId="162913"/>
  <pivotCaches>
    <pivotCache cacheId="0" r:id="rId44"/>
    <pivotCache cacheId="1" r:id="rId45"/>
  </pivotCaches>
  <extLst>
    <ext xmlns:x14="http://schemas.microsoft.com/office/spreadsheetml/2009/9/main" uri="{BBE1A952-AA13-448e-AADC-164F8A28A991}">
      <x14:slicerCaches>
        <x14:slicerCache r:id="rId46"/>
        <x14:slicerCache r:id="rId47"/>
        <x14:slicerCache r:id="rId48"/>
        <x14:slicerCache r:id="rId49"/>
      </x14:slicerCaches>
    </ext>
    <ext xmlns:x14="http://schemas.microsoft.com/office/spreadsheetml/2009/9/main" uri="{79F54976-1DA5-4618-B147-4CDE4B953A38}">
      <x14:workbookPr/>
    </ext>
  </extLst>
</workbook>
</file>

<file path=xl/calcChain.xml><?xml version="1.0" encoding="utf-8"?>
<calcChain xmlns="http://schemas.openxmlformats.org/spreadsheetml/2006/main">
  <c r="B4" i="46" l="1"/>
  <c r="C6" i="46" s="1"/>
  <c r="E5" i="46" l="1"/>
  <c r="B9" i="44"/>
  <c r="B11" i="44" s="1"/>
  <c r="D11" i="43"/>
  <c r="E3" i="43"/>
  <c r="F3" i="43" s="1"/>
  <c r="E4" i="43"/>
  <c r="F4" i="43" s="1"/>
  <c r="E5" i="43"/>
  <c r="F5" i="43" s="1"/>
  <c r="E6" i="43"/>
  <c r="F6" i="43" s="1"/>
  <c r="E7" i="43"/>
  <c r="F7" i="43" s="1"/>
  <c r="E8" i="43"/>
  <c r="F8" i="43" s="1"/>
  <c r="E9" i="43"/>
  <c r="F9" i="43" s="1"/>
  <c r="E10" i="43"/>
  <c r="F10" i="43" s="1"/>
  <c r="E2" i="43"/>
  <c r="F2" i="43" s="1"/>
  <c r="F11" i="43" l="1"/>
  <c r="B5" i="43"/>
  <c r="G8" i="42" l="1"/>
  <c r="G10" i="42" s="1"/>
  <c r="G7" i="42"/>
  <c r="G15" i="42" l="1"/>
  <c r="G9" i="42"/>
  <c r="G14" i="42"/>
  <c r="G13" i="42"/>
  <c r="G12" i="42"/>
  <c r="G11" i="42"/>
  <c r="D15" i="13" l="1"/>
  <c r="D14" i="13"/>
  <c r="D13" i="13"/>
  <c r="D12" i="13"/>
  <c r="D11" i="13"/>
  <c r="F10" i="13"/>
  <c r="D10" i="13"/>
  <c r="C7" i="13"/>
  <c r="B7" i="13"/>
  <c r="F6" i="13"/>
  <c r="E6" i="13"/>
  <c r="C6" i="13"/>
  <c r="B6" i="13"/>
  <c r="F5" i="13"/>
  <c r="E5" i="13"/>
  <c r="C5" i="13"/>
  <c r="B5" i="13"/>
  <c r="F4" i="13"/>
  <c r="E4" i="13"/>
  <c r="C4" i="13"/>
  <c r="B4" i="13"/>
  <c r="F3" i="13"/>
  <c r="E3" i="13"/>
  <c r="C3" i="13"/>
  <c r="B3" i="13"/>
  <c r="F2" i="13"/>
  <c r="E2" i="13"/>
  <c r="C2" i="13"/>
  <c r="B2" i="13"/>
  <c r="E14" i="12"/>
  <c r="H8" i="12"/>
  <c r="D4" i="11"/>
  <c r="D17" i="10"/>
  <c r="D16" i="10"/>
  <c r="D15" i="10"/>
  <c r="D14" i="10"/>
  <c r="C19" i="8"/>
  <c r="Q18" i="8"/>
  <c r="C18" i="8"/>
  <c r="C17" i="8"/>
  <c r="Q16" i="8"/>
  <c r="C16" i="8"/>
  <c r="C15" i="8"/>
  <c r="C14" i="8"/>
  <c r="C13" i="8"/>
  <c r="C12" i="8"/>
  <c r="P11" i="8"/>
  <c r="C11" i="8"/>
  <c r="C10" i="8"/>
  <c r="C9" i="8"/>
  <c r="Q8" i="8"/>
  <c r="C8" i="8"/>
  <c r="C7" i="8"/>
  <c r="C6" i="8"/>
  <c r="C5" i="8"/>
  <c r="R4" i="8"/>
  <c r="Q4" i="8"/>
  <c r="P4" i="8"/>
  <c r="C4" i="8"/>
  <c r="C3" i="8"/>
  <c r="C2" i="8"/>
  <c r="C11" i="7"/>
  <c r="C10" i="7"/>
  <c r="C9" i="7"/>
  <c r="C8" i="7"/>
  <c r="C7" i="7"/>
  <c r="C6" i="7"/>
  <c r="C5" i="7"/>
  <c r="C4" i="7"/>
  <c r="C3" i="7"/>
  <c r="C2" i="7"/>
  <c r="E20" i="6"/>
  <c r="E18" i="6"/>
  <c r="H16" i="6"/>
  <c r="F16" i="6"/>
  <c r="F15" i="6"/>
  <c r="F14" i="6"/>
  <c r="H13" i="6"/>
  <c r="F13" i="6"/>
  <c r="F12" i="6"/>
  <c r="F11" i="6"/>
  <c r="H10" i="6"/>
  <c r="F10" i="6"/>
  <c r="F9" i="6"/>
  <c r="F8" i="6"/>
  <c r="H7" i="6"/>
  <c r="F7" i="6"/>
  <c r="F6" i="6"/>
  <c r="F5" i="6"/>
  <c r="F4" i="6"/>
  <c r="F3" i="6"/>
  <c r="F2" i="6"/>
  <c r="B16" i="5"/>
  <c r="B15" i="5"/>
  <c r="B14" i="5"/>
  <c r="B13" i="5"/>
  <c r="B12" i="5"/>
  <c r="G10" i="5"/>
  <c r="F10" i="5"/>
  <c r="E10" i="5"/>
  <c r="D10" i="5"/>
  <c r="G9" i="5"/>
  <c r="F9" i="5"/>
  <c r="E9" i="5"/>
  <c r="D9" i="5"/>
  <c r="G8" i="5"/>
  <c r="F8" i="5"/>
  <c r="E8" i="5"/>
  <c r="D8" i="5"/>
  <c r="G7" i="5"/>
  <c r="F7" i="5"/>
  <c r="E7" i="5"/>
  <c r="D7" i="5"/>
  <c r="G6" i="5"/>
  <c r="F6" i="5"/>
  <c r="E6" i="5"/>
  <c r="D6" i="5"/>
  <c r="G5" i="5"/>
  <c r="F5" i="5"/>
  <c r="E5" i="5"/>
  <c r="D5" i="5"/>
  <c r="G4" i="5"/>
  <c r="F4" i="5"/>
  <c r="E4" i="5"/>
  <c r="D4" i="5"/>
  <c r="G3" i="5"/>
  <c r="F3" i="5"/>
  <c r="E3" i="5"/>
  <c r="D3" i="5"/>
  <c r="D21" i="4"/>
  <c r="D20" i="4"/>
  <c r="D19" i="4"/>
  <c r="D18" i="4"/>
  <c r="D17" i="4"/>
  <c r="D16" i="4"/>
  <c r="D15" i="4"/>
  <c r="D14" i="4"/>
  <c r="D13" i="4"/>
  <c r="D12" i="4"/>
  <c r="D11" i="4"/>
  <c r="F10" i="4"/>
  <c r="D10" i="4"/>
  <c r="D9" i="4"/>
  <c r="D8" i="4"/>
  <c r="D7" i="4"/>
  <c r="D6" i="4"/>
  <c r="D5" i="4"/>
  <c r="D4" i="4"/>
  <c r="D3" i="4"/>
  <c r="D2" i="4"/>
  <c r="C16" i="3"/>
  <c r="C15" i="3"/>
  <c r="C14" i="3"/>
  <c r="C13" i="3"/>
  <c r="C12" i="3"/>
  <c r="F10" i="3"/>
  <c r="E10" i="3"/>
  <c r="F9" i="3"/>
  <c r="E9" i="3"/>
  <c r="F8" i="3"/>
  <c r="E8" i="3"/>
  <c r="F7" i="3"/>
  <c r="E7" i="3"/>
  <c r="F6" i="3"/>
  <c r="E6" i="3"/>
  <c r="F5" i="3"/>
  <c r="E5" i="3"/>
  <c r="B10" i="2"/>
  <c r="B20" i="1"/>
  <c r="E18" i="1"/>
  <c r="B18" i="1"/>
  <c r="B13" i="1"/>
  <c r="B12" i="1"/>
  <c r="B11" i="1"/>
  <c r="B9" i="1"/>
  <c r="B8" i="1"/>
  <c r="C19" i="41"/>
  <c r="C21" i="41"/>
  <c r="H3" i="41"/>
  <c r="H5" i="41"/>
  <c r="H7" i="41"/>
  <c r="C18" i="41"/>
  <c r="C20" i="41"/>
  <c r="H2" i="41"/>
  <c r="H4" i="41"/>
  <c r="H6" i="41"/>
  <c r="H8" i="41"/>
  <c r="D20" i="41"/>
  <c r="D18" i="41"/>
  <c r="D21" i="41"/>
  <c r="D19" i="41"/>
  <c r="E20" i="41"/>
  <c r="E18" i="41"/>
  <c r="E21" i="41"/>
  <c r="E19" i="41"/>
  <c r="B22" i="19"/>
  <c r="B20" i="19"/>
  <c r="B18" i="19"/>
  <c r="B16" i="19"/>
  <c r="B23" i="19"/>
  <c r="B21" i="19"/>
  <c r="B19" i="19"/>
  <c r="B17" i="19"/>
  <c r="B15" i="19"/>
</calcChain>
</file>

<file path=xl/sharedStrings.xml><?xml version="1.0" encoding="utf-8"?>
<sst xmlns="http://schemas.openxmlformats.org/spreadsheetml/2006/main" count="671" uniqueCount="351">
  <si>
    <t>year</t>
  </si>
  <si>
    <t>profit</t>
  </si>
  <si>
    <t>SUM</t>
  </si>
  <si>
    <t>AVERAGE</t>
  </si>
  <si>
    <t>MINIMUM=MIN(B2:B6)</t>
  </si>
  <si>
    <t>MAX</t>
  </si>
  <si>
    <t>COUNT</t>
  </si>
  <si>
    <t>PROFIT</t>
  </si>
  <si>
    <t>Emp. No.</t>
  </si>
  <si>
    <t>Name</t>
  </si>
  <si>
    <t>Sales Amount</t>
  </si>
  <si>
    <t>Commission</t>
  </si>
  <si>
    <t>Total Salary</t>
  </si>
  <si>
    <t>DigiTMG101</t>
  </si>
  <si>
    <t>DigiTMG102</t>
  </si>
  <si>
    <t>DigiTMG103</t>
  </si>
  <si>
    <t>DigiTMG104</t>
  </si>
  <si>
    <t>DigiTMG105</t>
  </si>
  <si>
    <t>DigiTMG106</t>
  </si>
  <si>
    <t>veronica</t>
  </si>
  <si>
    <t>catherine</t>
  </si>
  <si>
    <t>samir</t>
  </si>
  <si>
    <t>peter</t>
  </si>
  <si>
    <t>mohammed</t>
  </si>
  <si>
    <t>ali</t>
  </si>
  <si>
    <t>Totals</t>
  </si>
  <si>
    <t>Average</t>
  </si>
  <si>
    <t>Highest</t>
  </si>
  <si>
    <t>Lowest</t>
  </si>
  <si>
    <t>Count</t>
  </si>
  <si>
    <t>Commision rate is 25% of sales</t>
  </si>
  <si>
    <t>Find Commission, Total salary, Average, Higest, Lowest and Count</t>
  </si>
  <si>
    <t>Apply Commas and Decimal numeric formats, percentage Numeric Formats.</t>
  </si>
  <si>
    <t>Salary</t>
  </si>
  <si>
    <t>Commission %</t>
  </si>
  <si>
    <t>relative referencing</t>
  </si>
  <si>
    <t>absolute referencing</t>
  </si>
  <si>
    <t>Employee Name</t>
  </si>
  <si>
    <t>Job Rating</t>
  </si>
  <si>
    <t>Bonus</t>
  </si>
  <si>
    <t>Ravi Sharma</t>
  </si>
  <si>
    <t>Manish M</t>
  </si>
  <si>
    <t>Priya S</t>
  </si>
  <si>
    <t>Jack Brown</t>
  </si>
  <si>
    <t>Alice Ahmad</t>
  </si>
  <si>
    <t>Hynus Clarkur</t>
  </si>
  <si>
    <t>Divya Kumar</t>
  </si>
  <si>
    <t>Raja Ruj</t>
  </si>
  <si>
    <t>Ravi Varma</t>
  </si>
  <si>
    <t>Kuthar Gauhur</t>
  </si>
  <si>
    <t>Carl Jackson</t>
  </si>
  <si>
    <t>Caral Adema</t>
  </si>
  <si>
    <t>Chris Choke</t>
  </si>
  <si>
    <t>Fred McMath</t>
  </si>
  <si>
    <t>Visihu Verma</t>
  </si>
  <si>
    <t>Kushore Kumar</t>
  </si>
  <si>
    <t>Gareth Rao</t>
  </si>
  <si>
    <t>Alchid K</t>
  </si>
  <si>
    <t>yusuf</t>
  </si>
  <si>
    <t>jubril</t>
  </si>
  <si>
    <t>if - logical statement</t>
  </si>
  <si>
    <t>Performance Rating</t>
  </si>
  <si>
    <t>Item No.</t>
  </si>
  <si>
    <t>No. of Items</t>
  </si>
  <si>
    <t xml:space="preserve">Item Price </t>
  </si>
  <si>
    <t>Tax</t>
  </si>
  <si>
    <t>Total Price Before Tax</t>
  </si>
  <si>
    <t>Total Price After Tax</t>
  </si>
  <si>
    <t>Rate</t>
  </si>
  <si>
    <t>count of items</t>
  </si>
  <si>
    <t>Average of Tax</t>
  </si>
  <si>
    <t>Min item Price</t>
  </si>
  <si>
    <t>Max Item Price</t>
  </si>
  <si>
    <t>CONDITION</t>
  </si>
  <si>
    <t>TAX</t>
  </si>
  <si>
    <t>otherwise</t>
  </si>
  <si>
    <t>State</t>
  </si>
  <si>
    <t>Budget Sale</t>
  </si>
  <si>
    <t>Sales</t>
  </si>
  <si>
    <t>Difference</t>
  </si>
  <si>
    <t>Product type</t>
  </si>
  <si>
    <t>California</t>
  </si>
  <si>
    <t>Colorado</t>
  </si>
  <si>
    <t>Florida</t>
  </si>
  <si>
    <t>Ilinos</t>
  </si>
  <si>
    <t>Coffee</t>
  </si>
  <si>
    <t>espresso</t>
  </si>
  <si>
    <t>herbal tea</t>
  </si>
  <si>
    <t>tea</t>
  </si>
  <si>
    <t>Year of Date</t>
  </si>
  <si>
    <t>Year</t>
  </si>
  <si>
    <t>SUMIFS</t>
  </si>
  <si>
    <t>countIFS</t>
  </si>
  <si>
    <t xml:space="preserve"> </t>
  </si>
  <si>
    <t>Sum of sales in2013 where  sales is &gt; 10000</t>
  </si>
  <si>
    <t>No of rows where the target is achieved</t>
  </si>
  <si>
    <t>NUMBER</t>
  </si>
  <si>
    <t>DENOMINATOR</t>
  </si>
  <si>
    <t>RESULT</t>
  </si>
  <si>
    <t>Payroll</t>
  </si>
  <si>
    <t>Area Code</t>
  </si>
  <si>
    <t>Product</t>
  </si>
  <si>
    <t>Product Type</t>
  </si>
  <si>
    <t>Target Profit</t>
  </si>
  <si>
    <t>Profit</t>
  </si>
  <si>
    <t>Marked Price</t>
  </si>
  <si>
    <t>cream</t>
  </si>
  <si>
    <t>expresso</t>
  </si>
  <si>
    <t>amareno</t>
  </si>
  <si>
    <t>colombian</t>
  </si>
  <si>
    <t>colorado</t>
  </si>
  <si>
    <t>ilinois</t>
  </si>
  <si>
    <t>ohio</t>
  </si>
  <si>
    <t>florida</t>
  </si>
  <si>
    <t>texas</t>
  </si>
  <si>
    <t>california</t>
  </si>
  <si>
    <t>Teritory</t>
  </si>
  <si>
    <t>central</t>
  </si>
  <si>
    <t>east</t>
  </si>
  <si>
    <t>south</t>
  </si>
  <si>
    <t>west</t>
  </si>
  <si>
    <t>product</t>
  </si>
  <si>
    <t>caffe mocha</t>
  </si>
  <si>
    <t>chamonche</t>
  </si>
  <si>
    <t>darjeeing</t>
  </si>
  <si>
    <t>lemon</t>
  </si>
  <si>
    <t>mint</t>
  </si>
  <si>
    <t>Product  type</t>
  </si>
  <si>
    <t>coffee</t>
  </si>
  <si>
    <t>coke</t>
  </si>
  <si>
    <t>drink</t>
  </si>
  <si>
    <t>Column1</t>
  </si>
  <si>
    <t>Column2</t>
  </si>
  <si>
    <t>fanta</t>
  </si>
  <si>
    <t>red</t>
  </si>
  <si>
    <t xml:space="preserve"> Selling Price</t>
  </si>
  <si>
    <t>TAX Rate</t>
  </si>
  <si>
    <t>Lower End</t>
  </si>
  <si>
    <t>VAT</t>
  </si>
  <si>
    <t>above</t>
  </si>
  <si>
    <t>Higher End</t>
  </si>
  <si>
    <t>Selling Price</t>
  </si>
  <si>
    <t>rice</t>
  </si>
  <si>
    <t>beans</t>
  </si>
  <si>
    <t>yam</t>
  </si>
  <si>
    <t>bread</t>
  </si>
  <si>
    <t>grains</t>
  </si>
  <si>
    <t>protein</t>
  </si>
  <si>
    <t>energy</t>
  </si>
  <si>
    <t>starch</t>
  </si>
  <si>
    <t>MATCH</t>
  </si>
  <si>
    <t>Order ID</t>
  </si>
  <si>
    <t>ID</t>
  </si>
  <si>
    <t>STATE</t>
  </si>
  <si>
    <t>TERITORY</t>
  </si>
  <si>
    <t>MARKED PRICE</t>
  </si>
  <si>
    <t xml:space="preserve">PRODUCT </t>
  </si>
  <si>
    <t>Q1</t>
  </si>
  <si>
    <t>Q2</t>
  </si>
  <si>
    <t>Q3</t>
  </si>
  <si>
    <t>Q4</t>
  </si>
  <si>
    <t>Amaretto</t>
  </si>
  <si>
    <t>Caffe Latte</t>
  </si>
  <si>
    <t>Caffe Mocha</t>
  </si>
  <si>
    <t>Chamomie</t>
  </si>
  <si>
    <t>Colombian</t>
  </si>
  <si>
    <t>Dajeeing</t>
  </si>
  <si>
    <t>Decaf Expresso</t>
  </si>
  <si>
    <t>Decaf Irish Cream</t>
  </si>
  <si>
    <t>Earl Grey</t>
  </si>
  <si>
    <t>Lemon</t>
  </si>
  <si>
    <t>Mint</t>
  </si>
  <si>
    <t>Regular Espresso</t>
  </si>
  <si>
    <t xml:space="preserve">product </t>
  </si>
  <si>
    <t>quarter</t>
  </si>
  <si>
    <t>INDEX MATCH</t>
  </si>
  <si>
    <t>PRODUCT</t>
  </si>
  <si>
    <t>PRODUCT TYPE</t>
  </si>
  <si>
    <t>INDEX AND MATCH</t>
  </si>
  <si>
    <t>PRODUCT LINE</t>
  </si>
  <si>
    <t>SALES</t>
  </si>
  <si>
    <t>CONCAT</t>
  </si>
  <si>
    <t>Amaretto Caffe Latte</t>
  </si>
  <si>
    <t>CUSTOMER NAME</t>
  </si>
  <si>
    <t>FIRST NAME</t>
  </si>
  <si>
    <t>LAST NAME</t>
  </si>
  <si>
    <t>CLAIRE, GUTE</t>
  </si>
  <si>
    <t>HAROLD, PAWLAN</t>
  </si>
  <si>
    <t>PETE, KRIZ</t>
  </si>
  <si>
    <t>KEN, BLACK</t>
  </si>
  <si>
    <t>TRACY, BLUMATE</t>
  </si>
  <si>
    <t>LINGA, CAZAMIA</t>
  </si>
  <si>
    <t>POSITION</t>
  </si>
  <si>
    <t>LENGTH</t>
  </si>
  <si>
    <t>CLAIRE</t>
  </si>
  <si>
    <t>HAROLD</t>
  </si>
  <si>
    <t>PETE</t>
  </si>
  <si>
    <t>KEN</t>
  </si>
  <si>
    <t>TRACY</t>
  </si>
  <si>
    <t>LINGA</t>
  </si>
  <si>
    <t>GUTE</t>
  </si>
  <si>
    <t>PAWLAN</t>
  </si>
  <si>
    <t>KRIZ</t>
  </si>
  <si>
    <t>BLACK</t>
  </si>
  <si>
    <t>BLUMATE</t>
  </si>
  <si>
    <t>CAZAMIA</t>
  </si>
  <si>
    <t>Claire, Gute</t>
  </si>
  <si>
    <t>Harold, Pawlan</t>
  </si>
  <si>
    <t>Pete, Kriz</t>
  </si>
  <si>
    <t>Ken, Black</t>
  </si>
  <si>
    <t>Tracy, Blumate</t>
  </si>
  <si>
    <t>Linga, Cazamia</t>
  </si>
  <si>
    <t>Customer Name</t>
  </si>
  <si>
    <t>Total</t>
  </si>
  <si>
    <t>Grand Total</t>
  </si>
  <si>
    <t>Row Labels</t>
  </si>
  <si>
    <t>Sum of Profit</t>
  </si>
  <si>
    <t>Sum of Target Profit</t>
  </si>
  <si>
    <t>Sum of Marked Price</t>
  </si>
  <si>
    <t>Average of Profit</t>
  </si>
  <si>
    <t>Max Profit</t>
  </si>
  <si>
    <t>Min of Profit</t>
  </si>
  <si>
    <t>Date</t>
  </si>
  <si>
    <t>Jan</t>
  </si>
  <si>
    <t>Feb</t>
  </si>
  <si>
    <t>May</t>
  </si>
  <si>
    <t>Mar</t>
  </si>
  <si>
    <t>Column Labels</t>
  </si>
  <si>
    <t>apr</t>
  </si>
  <si>
    <t>may</t>
  </si>
  <si>
    <t>jun</t>
  </si>
  <si>
    <t>jul</t>
  </si>
  <si>
    <t>aug</t>
  </si>
  <si>
    <t>sep</t>
  </si>
  <si>
    <t>oct</t>
  </si>
  <si>
    <t>nov</t>
  </si>
  <si>
    <t>dec</t>
  </si>
  <si>
    <t>Actual Profit</t>
  </si>
  <si>
    <t>Difference b/w Actual and target</t>
  </si>
  <si>
    <t>Sum of percentage</t>
  </si>
  <si>
    <t>2021</t>
  </si>
  <si>
    <t>Qtr1</t>
  </si>
  <si>
    <t>Qtr2</t>
  </si>
  <si>
    <t>2022</t>
  </si>
  <si>
    <t>frequency distribution analysis</t>
  </si>
  <si>
    <t>A</t>
  </si>
  <si>
    <t>600-700</t>
  </si>
  <si>
    <t>B</t>
  </si>
  <si>
    <t>BINS/INTERVALS SIZE = 10</t>
  </si>
  <si>
    <t>RANGE</t>
  </si>
  <si>
    <t>COUNT/FREQ</t>
  </si>
  <si>
    <t>600-609</t>
  </si>
  <si>
    <t>610-619</t>
  </si>
  <si>
    <t>620-629</t>
  </si>
  <si>
    <t>630-639</t>
  </si>
  <si>
    <t>640-649</t>
  </si>
  <si>
    <t>650-659</t>
  </si>
  <si>
    <t>660-669</t>
  </si>
  <si>
    <t>670-679</t>
  </si>
  <si>
    <t>680-689</t>
  </si>
  <si>
    <t>690-699</t>
  </si>
  <si>
    <t>700-709</t>
  </si>
  <si>
    <t>S/N</t>
  </si>
  <si>
    <t>work experience</t>
  </si>
  <si>
    <t>Gmarks</t>
  </si>
  <si>
    <t>pareto chartt</t>
  </si>
  <si>
    <t>interview Data</t>
  </si>
  <si>
    <t>round</t>
  </si>
  <si>
    <t>number of condition</t>
  </si>
  <si>
    <t>technical interview</t>
  </si>
  <si>
    <t>joined</t>
  </si>
  <si>
    <t xml:space="preserve">offer letter released </t>
  </si>
  <si>
    <t>hr interview</t>
  </si>
  <si>
    <t>written text</t>
  </si>
  <si>
    <t>My First Dashaboard</t>
  </si>
  <si>
    <t xml:space="preserve"> Sales </t>
  </si>
  <si>
    <t>Forecast( Sales )</t>
  </si>
  <si>
    <t>Statistic</t>
  </si>
  <si>
    <t>Value</t>
  </si>
  <si>
    <t>Alpha</t>
  </si>
  <si>
    <t>Beta</t>
  </si>
  <si>
    <t>Gamma</t>
  </si>
  <si>
    <t>MASE</t>
  </si>
  <si>
    <t>SMAPE</t>
  </si>
  <si>
    <t>MAE</t>
  </si>
  <si>
    <t>RMSE</t>
  </si>
  <si>
    <t>Lower Confidence Bound( Sales )</t>
  </si>
  <si>
    <t>Upper Confidence Bound( Sales )</t>
  </si>
  <si>
    <t>location</t>
  </si>
  <si>
    <t>windmill</t>
  </si>
  <si>
    <t>power oupu(MW)</t>
  </si>
  <si>
    <t>wind speed (m/s)</t>
  </si>
  <si>
    <t>a1</t>
  </si>
  <si>
    <t>a10</t>
  </si>
  <si>
    <t>a11</t>
  </si>
  <si>
    <t>a12</t>
  </si>
  <si>
    <t>a13</t>
  </si>
  <si>
    <t>a14</t>
  </si>
  <si>
    <t>a15</t>
  </si>
  <si>
    <t>a16</t>
  </si>
  <si>
    <t>a17</t>
  </si>
  <si>
    <t>a18</t>
  </si>
  <si>
    <t>a19</t>
  </si>
  <si>
    <t>a2</t>
  </si>
  <si>
    <t>a21</t>
  </si>
  <si>
    <t>a22</t>
  </si>
  <si>
    <t>a23</t>
  </si>
  <si>
    <t>a24</t>
  </si>
  <si>
    <t>a25</t>
  </si>
  <si>
    <t>a26</t>
  </si>
  <si>
    <t>a27</t>
  </si>
  <si>
    <t>a28</t>
  </si>
  <si>
    <t>a29</t>
  </si>
  <si>
    <t>a3</t>
  </si>
  <si>
    <t>a30</t>
  </si>
  <si>
    <t>Loan Payment</t>
  </si>
  <si>
    <t>rate</t>
  </si>
  <si>
    <t>Term(months)</t>
  </si>
  <si>
    <t>Loan Amount</t>
  </si>
  <si>
    <t>Payment</t>
  </si>
  <si>
    <t>salary</t>
  </si>
  <si>
    <t>hike</t>
  </si>
  <si>
    <t>new salary</t>
  </si>
  <si>
    <t>budget</t>
  </si>
  <si>
    <t>increase%</t>
  </si>
  <si>
    <t>monthly sales</t>
  </si>
  <si>
    <t>monthly costs</t>
  </si>
  <si>
    <t>marketing</t>
  </si>
  <si>
    <t>salaries</t>
  </si>
  <si>
    <t>office rent</t>
  </si>
  <si>
    <t>miscellaneous</t>
  </si>
  <si>
    <t>total costs</t>
  </si>
  <si>
    <t>monthly_sales</t>
  </si>
  <si>
    <t>office_rent</t>
  </si>
  <si>
    <t>$D$1</t>
  </si>
  <si>
    <t>Original</t>
  </si>
  <si>
    <t>Created by Jubril yusuf Danjuma on 8/23/2023</t>
  </si>
  <si>
    <t>High sales</t>
  </si>
  <si>
    <t>low sales</t>
  </si>
  <si>
    <t>Scenario Summary</t>
  </si>
  <si>
    <t>Changing Cells:</t>
  </si>
  <si>
    <t>Current Values:</t>
  </si>
  <si>
    <t>Result Cells:</t>
  </si>
  <si>
    <t>Notes:  Current Values column represents values of changing cells at</t>
  </si>
  <si>
    <t>time Scenario Summary Report was created.  Changing cells for each</t>
  </si>
  <si>
    <t>scenario are highlighted in gray.</t>
  </si>
  <si>
    <t>Interest Rate (Year)</t>
  </si>
  <si>
    <t>Term (months)</t>
  </si>
  <si>
    <t>Monthly Payment</t>
  </si>
  <si>
    <t>interest</t>
  </si>
  <si>
    <t>Profit Analysis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</si>
</sst>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8">
    <numFmt numFmtId="6" formatCode="&quot;$&quot;#,##0_);[Red]\(&quot;$&quot;#,##0\)"/>
    <numFmt numFmtId="8" formatCode="&quot;$&quot;#,##0.00_);[Red]\(&quot;$&quot;#,##0.00\)"/>
    <numFmt numFmtId="44" formatCode="_(&quot;$&quot;* #,##0.00_);_(&quot;$&quot;* \(#,##0.00\);_(&quot;$&quot;* &quot;-&quot;??_);_(@_)"/>
    <numFmt numFmtId="164" formatCode="_([$$-409]* #,##0_);_([$$-409]* \(#,##0\);_([$$-409]* &quot;-&quot;??_);_(@_)"/>
    <numFmt numFmtId="165" formatCode="&quot;$&quot;#,##0"/>
    <numFmt numFmtId="166" formatCode="&quot;$&quot;#,##0.00"/>
    <numFmt numFmtId="167" formatCode="_([$$-409]* #,##0.00_);_([$$-409]* \(#,##0.00\);_([$$-409]* &quot;-&quot;??_);_(@_)"/>
    <numFmt numFmtId="168" formatCode="[$-F400]h:mm:ss\ AM/PM"/>
  </numFmts>
  <fonts count="13" x14ac:knownFonts="1">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b/>
      <sz val="11"/>
      <color theme="1"/>
      <name val="Roboto"/>
    </font>
    <font>
      <b/>
      <sz val="11"/>
      <name val="Calibri"/>
      <family val="2"/>
      <scheme val="minor"/>
    </font>
    <font>
      <sz val="11"/>
      <color theme="1"/>
      <name val="Calibri"/>
      <scheme val="minor"/>
    </font>
    <font>
      <b/>
      <sz val="12"/>
      <color indexed="9"/>
      <name val="Calibri"/>
      <family val="2"/>
      <scheme val="minor"/>
    </font>
    <font>
      <b/>
      <sz val="11"/>
      <color indexed="8"/>
      <name val="Calibri"/>
      <family val="2"/>
      <scheme val="minor"/>
    </font>
    <font>
      <b/>
      <sz val="11"/>
      <color indexed="18"/>
      <name val="Calibri"/>
      <family val="2"/>
      <scheme val="minor"/>
    </font>
    <font>
      <sz val="10"/>
      <color indexed="9"/>
      <name val="Calibri"/>
      <family val="2"/>
      <scheme val="minor"/>
    </font>
    <font>
      <sz val="8"/>
      <color theme="1"/>
      <name val="Calibri"/>
      <family val="2"/>
      <scheme val="minor"/>
    </font>
    <font>
      <b/>
      <sz val="28"/>
      <color theme="0"/>
      <name val="Calibri"/>
      <family val="2"/>
      <scheme val="minor"/>
    </font>
  </fonts>
  <fills count="23">
    <fill>
      <patternFill patternType="none"/>
    </fill>
    <fill>
      <patternFill patternType="gray125"/>
    </fill>
    <fill>
      <patternFill patternType="solid">
        <fgColor theme="9" tint="0.39997558519241921"/>
        <bgColor indexed="64"/>
      </patternFill>
    </fill>
    <fill>
      <patternFill patternType="solid">
        <fgColor theme="1"/>
        <bgColor indexed="64"/>
      </patternFill>
    </fill>
    <fill>
      <patternFill patternType="solid">
        <fgColor theme="3" tint="0.39997558519241921"/>
        <bgColor indexed="64"/>
      </patternFill>
    </fill>
    <fill>
      <patternFill patternType="solid">
        <fgColor rgb="FF92D050"/>
        <bgColor indexed="64"/>
      </patternFill>
    </fill>
    <fill>
      <patternFill patternType="solid">
        <fgColor theme="8"/>
        <bgColor indexed="64"/>
      </patternFill>
    </fill>
    <fill>
      <patternFill patternType="solid">
        <fgColor theme="3" tint="0.79998168889431442"/>
        <bgColor indexed="64"/>
      </patternFill>
    </fill>
    <fill>
      <patternFill patternType="solid">
        <fgColor theme="4" tint="0.39997558519241921"/>
        <bgColor indexed="64"/>
      </patternFill>
    </fill>
    <fill>
      <patternFill patternType="solid">
        <fgColor rgb="FFFFC000"/>
        <bgColor indexed="64"/>
      </patternFill>
    </fill>
    <fill>
      <patternFill patternType="solid">
        <fgColor theme="4" tint="0.79998168889431442"/>
        <bgColor theme="4" tint="0.79998168889431442"/>
      </patternFill>
    </fill>
    <fill>
      <patternFill patternType="solid">
        <fgColor theme="3" tint="0.59999389629810485"/>
        <bgColor indexed="64"/>
      </patternFill>
    </fill>
    <fill>
      <patternFill patternType="solid">
        <fgColor theme="9" tint="0.79998168889431442"/>
        <bgColor theme="9" tint="0.79998168889431442"/>
      </patternFill>
    </fill>
    <fill>
      <patternFill patternType="solid">
        <fgColor theme="9"/>
        <bgColor theme="9"/>
      </patternFill>
    </fill>
    <fill>
      <patternFill patternType="solid">
        <fgColor rgb="FFFFFF00"/>
        <bgColor indexed="64"/>
      </patternFill>
    </fill>
    <fill>
      <patternFill patternType="solid">
        <fgColor rgb="FFFFFF99"/>
        <bgColor indexed="64"/>
      </patternFill>
    </fill>
    <fill>
      <patternFill patternType="solid">
        <fgColor theme="6" tint="0.39997558519241921"/>
        <bgColor indexed="64"/>
      </patternFill>
    </fill>
    <fill>
      <patternFill patternType="solid">
        <fgColor theme="6" tint="-0.499984740745262"/>
        <bgColor indexed="64"/>
      </patternFill>
    </fill>
    <fill>
      <patternFill patternType="solid">
        <fgColor theme="3"/>
        <bgColor indexed="64"/>
      </patternFill>
    </fill>
    <fill>
      <patternFill patternType="solid">
        <fgColor theme="4" tint="0.59999389629810485"/>
        <bgColor indexed="64"/>
      </patternFill>
    </fill>
    <fill>
      <patternFill patternType="solid">
        <fgColor indexed="20"/>
        <bgColor indexed="24"/>
      </patternFill>
    </fill>
    <fill>
      <patternFill patternType="solid">
        <fgColor indexed="22"/>
        <bgColor indexed="24"/>
      </patternFill>
    </fill>
    <fill>
      <patternFill patternType="solid">
        <fgColor indexed="22"/>
        <bgColor indexed="7"/>
      </patternFill>
    </fill>
  </fills>
  <borders count="30">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bottom/>
      <diagonal/>
    </border>
    <border>
      <left/>
      <right/>
      <top style="thin">
        <color theme="4" tint="0.39997558519241921"/>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thin">
        <color theme="0"/>
      </left>
      <right/>
      <top style="thin">
        <color theme="0"/>
      </top>
      <bottom/>
      <diagonal/>
    </border>
    <border>
      <left style="thin">
        <color theme="0"/>
      </left>
      <right style="medium">
        <color indexed="64"/>
      </right>
      <top style="thick">
        <color theme="0"/>
      </top>
      <bottom style="medium">
        <color indexed="64"/>
      </bottom>
      <diagonal/>
    </border>
    <border>
      <left style="thin">
        <color theme="0"/>
      </left>
      <right/>
      <top style="medium">
        <color indexed="64"/>
      </top>
      <bottom/>
      <diagonal/>
    </border>
    <border>
      <left style="thin">
        <color theme="0"/>
      </left>
      <right style="medium">
        <color indexed="64"/>
      </right>
      <top style="medium">
        <color indexed="64"/>
      </top>
      <bottom/>
      <diagonal/>
    </border>
    <border>
      <left style="medium">
        <color indexed="64"/>
      </left>
      <right/>
      <top style="thin">
        <color theme="0"/>
      </top>
      <bottom/>
      <diagonal/>
    </border>
    <border>
      <left style="thin">
        <color theme="0"/>
      </left>
      <right style="medium">
        <color indexed="64"/>
      </right>
      <top style="thin">
        <color theme="0"/>
      </top>
      <bottom/>
      <diagonal/>
    </border>
    <border>
      <left style="medium">
        <color indexed="64"/>
      </left>
      <right/>
      <top style="thick">
        <color theme="0"/>
      </top>
      <bottom style="medium">
        <color indexed="64"/>
      </bottom>
      <diagonal/>
    </border>
    <border>
      <left style="thin">
        <color theme="0"/>
      </left>
      <right/>
      <top style="thick">
        <color theme="0"/>
      </top>
      <bottom style="medium">
        <color indexed="64"/>
      </bottom>
      <diagonal/>
    </border>
    <border>
      <left/>
      <right/>
      <top style="thin">
        <color theme="4" tint="0.39997558519241921"/>
      </top>
      <bottom style="thin">
        <color theme="4" tint="0.39997558519241921"/>
      </bottom>
      <diagonal/>
    </border>
    <border>
      <left/>
      <right/>
      <top/>
      <bottom style="thin">
        <color theme="4" tint="0.39997558519241921"/>
      </bottom>
      <diagonal/>
    </border>
    <border>
      <left/>
      <right/>
      <top/>
      <bottom style="thin">
        <color theme="0"/>
      </bottom>
      <diagonal/>
    </border>
    <border>
      <left/>
      <right/>
      <top/>
      <bottom style="thin">
        <color indexed="64"/>
      </bottom>
      <diagonal/>
    </border>
    <border>
      <left/>
      <right/>
      <top style="thin">
        <color indexed="64"/>
      </top>
      <bottom style="thin">
        <color indexed="64"/>
      </bottom>
      <diagonal/>
    </border>
  </borders>
  <cellStyleXfs count="2">
    <xf numFmtId="0" fontId="0" fillId="0" borderId="0"/>
    <xf numFmtId="44" fontId="1" fillId="0" borderId="0" applyFont="0" applyFill="0" applyBorder="0" applyAlignment="0" applyProtection="0"/>
  </cellStyleXfs>
  <cellXfs count="143">
    <xf numFmtId="0" fontId="0" fillId="0" borderId="0" xfId="0"/>
    <xf numFmtId="164" fontId="0" fillId="0" borderId="0" xfId="1" applyNumberFormat="1" applyFont="1"/>
    <xf numFmtId="165" fontId="0" fillId="0" borderId="0" xfId="1" applyNumberFormat="1" applyFont="1"/>
    <xf numFmtId="0" fontId="3" fillId="0" borderId="0" xfId="0" applyFont="1"/>
    <xf numFmtId="9" fontId="0" fillId="0" borderId="0" xfId="0" applyNumberFormat="1"/>
    <xf numFmtId="0" fontId="4" fillId="0" borderId="0" xfId="0" applyFont="1" applyFill="1"/>
    <xf numFmtId="166" fontId="3" fillId="0" borderId="0" xfId="0" applyNumberFormat="1" applyFont="1"/>
    <xf numFmtId="166" fontId="0" fillId="0" borderId="0" xfId="0" applyNumberFormat="1"/>
    <xf numFmtId="165" fontId="4" fillId="2" borderId="0" xfId="0" applyNumberFormat="1" applyFont="1" applyFill="1"/>
    <xf numFmtId="165" fontId="0" fillId="0" borderId="0" xfId="0" applyNumberFormat="1"/>
    <xf numFmtId="1" fontId="4" fillId="2" borderId="0" xfId="0" applyNumberFormat="1" applyFont="1" applyFill="1" applyAlignment="1">
      <alignment horizontal="center" vertical="top"/>
    </xf>
    <xf numFmtId="1" fontId="0" fillId="0" borderId="0" xfId="0" applyNumberFormat="1" applyAlignment="1">
      <alignment horizontal="center" vertical="top"/>
    </xf>
    <xf numFmtId="49" fontId="4" fillId="2" borderId="0" xfId="0" applyNumberFormat="1" applyFont="1" applyFill="1"/>
    <xf numFmtId="49" fontId="0" fillId="0" borderId="0" xfId="0" applyNumberFormat="1"/>
    <xf numFmtId="1" fontId="0" fillId="0" borderId="0" xfId="0" applyNumberFormat="1"/>
    <xf numFmtId="165" fontId="2" fillId="3" borderId="0" xfId="0" applyNumberFormat="1" applyFont="1" applyFill="1"/>
    <xf numFmtId="1" fontId="2" fillId="3" borderId="0" xfId="0" applyNumberFormat="1" applyFont="1" applyFill="1"/>
    <xf numFmtId="164" fontId="4" fillId="2" borderId="0" xfId="0" applyNumberFormat="1" applyFont="1" applyFill="1"/>
    <xf numFmtId="164" fontId="0" fillId="0" borderId="0" xfId="0" applyNumberFormat="1"/>
    <xf numFmtId="0" fontId="0" fillId="0" borderId="0" xfId="0" applyAlignment="1">
      <alignment horizontal="left" vertical="center"/>
    </xf>
    <xf numFmtId="0" fontId="3" fillId="4" borderId="0" xfId="0" applyFont="1" applyFill="1"/>
    <xf numFmtId="44" fontId="3" fillId="4" borderId="0" xfId="1" applyFont="1" applyFill="1"/>
    <xf numFmtId="44" fontId="0" fillId="0" borderId="0" xfId="1" applyFont="1"/>
    <xf numFmtId="167" fontId="3" fillId="4" borderId="0" xfId="1" applyNumberFormat="1" applyFont="1" applyFill="1"/>
    <xf numFmtId="167" fontId="0" fillId="0" borderId="0" xfId="1" applyNumberFormat="1" applyFont="1"/>
    <xf numFmtId="166" fontId="0" fillId="0" borderId="0" xfId="1" applyNumberFormat="1" applyFont="1"/>
    <xf numFmtId="166" fontId="3" fillId="4" borderId="0" xfId="1" applyNumberFormat="1" applyFont="1" applyFill="1"/>
    <xf numFmtId="0" fontId="0" fillId="5" borderId="0" xfId="0" applyFill="1"/>
    <xf numFmtId="0" fontId="3" fillId="5" borderId="0" xfId="0" applyFont="1" applyFill="1"/>
    <xf numFmtId="0" fontId="0" fillId="0" borderId="0" xfId="0" applyAlignment="1">
      <alignment horizontal="right"/>
    </xf>
    <xf numFmtId="0" fontId="5" fillId="0" borderId="0" xfId="0" applyFont="1" applyFill="1" applyAlignment="1">
      <alignment horizontal="center"/>
    </xf>
    <xf numFmtId="0" fontId="0" fillId="0" borderId="1" xfId="0" applyBorder="1"/>
    <xf numFmtId="1" fontId="0" fillId="0" borderId="1" xfId="0" applyNumberFormat="1" applyBorder="1"/>
    <xf numFmtId="165" fontId="0" fillId="0" borderId="1" xfId="0" applyNumberFormat="1" applyBorder="1"/>
    <xf numFmtId="0" fontId="0" fillId="0" borderId="1" xfId="0" applyBorder="1" applyAlignment="1">
      <alignment horizontal="right"/>
    </xf>
    <xf numFmtId="14" fontId="0" fillId="0" borderId="0" xfId="0" applyNumberFormat="1"/>
    <xf numFmtId="0" fontId="5" fillId="9" borderId="3" xfId="0" applyFont="1" applyFill="1" applyBorder="1" applyAlignment="1">
      <alignment horizontal="center"/>
    </xf>
    <xf numFmtId="1" fontId="5" fillId="9" borderId="3" xfId="0" applyNumberFormat="1" applyFont="1" applyFill="1" applyBorder="1" applyAlignment="1">
      <alignment horizontal="center"/>
    </xf>
    <xf numFmtId="165" fontId="5" fillId="9" borderId="3" xfId="0" applyNumberFormat="1" applyFont="1" applyFill="1" applyBorder="1" applyAlignment="1">
      <alignment horizontal="center"/>
    </xf>
    <xf numFmtId="0" fontId="0" fillId="0" borderId="7" xfId="0" applyBorder="1"/>
    <xf numFmtId="0" fontId="0" fillId="0" borderId="0" xfId="0" applyBorder="1"/>
    <xf numFmtId="9" fontId="0" fillId="0" borderId="8" xfId="0" applyNumberFormat="1" applyBorder="1"/>
    <xf numFmtId="0" fontId="0" fillId="0" borderId="9" xfId="0" applyBorder="1"/>
    <xf numFmtId="0" fontId="0" fillId="0" borderId="10" xfId="0" applyBorder="1"/>
    <xf numFmtId="9" fontId="0" fillId="0" borderId="11" xfId="0" applyNumberFormat="1" applyBorder="1"/>
    <xf numFmtId="0" fontId="3" fillId="8" borderId="2" xfId="0" applyFont="1" applyFill="1" applyBorder="1"/>
    <xf numFmtId="0" fontId="3" fillId="7" borderId="7" xfId="0" applyFont="1" applyFill="1" applyBorder="1"/>
    <xf numFmtId="0" fontId="3" fillId="7" borderId="0" xfId="0" applyFont="1" applyFill="1" applyBorder="1"/>
    <xf numFmtId="0" fontId="3" fillId="7" borderId="8" xfId="0" applyFont="1" applyFill="1" applyBorder="1"/>
    <xf numFmtId="0" fontId="3" fillId="9" borderId="4" xfId="0" applyFont="1" applyFill="1" applyBorder="1"/>
    <xf numFmtId="9" fontId="3" fillId="9" borderId="2" xfId="0" applyNumberFormat="1" applyFont="1" applyFill="1" applyBorder="1"/>
    <xf numFmtId="9" fontId="0" fillId="0" borderId="12" xfId="0" applyNumberFormat="1" applyBorder="1"/>
    <xf numFmtId="0" fontId="0" fillId="10" borderId="13" xfId="0" applyFont="1" applyFill="1" applyBorder="1"/>
    <xf numFmtId="0" fontId="0" fillId="0" borderId="13" xfId="0" applyFont="1" applyBorder="1"/>
    <xf numFmtId="0" fontId="0" fillId="10" borderId="0" xfId="0" applyFont="1" applyFill="1" applyBorder="1"/>
    <xf numFmtId="0" fontId="6" fillId="0" borderId="13" xfId="0" applyFont="1" applyBorder="1"/>
    <xf numFmtId="0" fontId="6" fillId="0" borderId="0" xfId="0" applyFont="1" applyBorder="1"/>
    <xf numFmtId="0" fontId="0" fillId="0" borderId="8" xfId="0" applyBorder="1"/>
    <xf numFmtId="0" fontId="0" fillId="0" borderId="11" xfId="0" applyBorder="1"/>
    <xf numFmtId="0" fontId="0" fillId="11" borderId="14" xfId="0" applyFill="1" applyBorder="1"/>
    <xf numFmtId="0" fontId="0" fillId="11" borderId="15" xfId="0" applyFill="1" applyBorder="1"/>
    <xf numFmtId="0" fontId="0" fillId="11" borderId="16" xfId="0" applyFill="1" applyBorder="1"/>
    <xf numFmtId="0" fontId="3" fillId="11" borderId="14" xfId="0" applyFont="1" applyFill="1" applyBorder="1"/>
    <xf numFmtId="0" fontId="3" fillId="11" borderId="15" xfId="0" applyFont="1" applyFill="1" applyBorder="1"/>
    <xf numFmtId="0" fontId="3" fillId="11" borderId="16" xfId="0" applyFont="1" applyFill="1" applyBorder="1"/>
    <xf numFmtId="167" fontId="0" fillId="0" borderId="0" xfId="0" applyNumberFormat="1"/>
    <xf numFmtId="0" fontId="0" fillId="11" borderId="1" xfId="0" applyFill="1" applyBorder="1"/>
    <xf numFmtId="167" fontId="3" fillId="11" borderId="0" xfId="0" applyNumberFormat="1" applyFont="1" applyFill="1" applyBorder="1"/>
    <xf numFmtId="167" fontId="0" fillId="12" borderId="17" xfId="0" applyNumberFormat="1" applyFont="1" applyFill="1" applyBorder="1"/>
    <xf numFmtId="0" fontId="2" fillId="13" borderId="14" xfId="0" applyFont="1" applyFill="1" applyBorder="1"/>
    <xf numFmtId="167" fontId="2" fillId="13" borderId="20" xfId="0" applyNumberFormat="1" applyFont="1" applyFill="1" applyBorder="1"/>
    <xf numFmtId="167" fontId="0" fillId="12" borderId="19" xfId="0" applyNumberFormat="1" applyFont="1" applyFill="1" applyBorder="1"/>
    <xf numFmtId="0" fontId="2" fillId="13" borderId="21" xfId="0" applyFont="1" applyFill="1" applyBorder="1"/>
    <xf numFmtId="167" fontId="2" fillId="13" borderId="22" xfId="0" applyNumberFormat="1" applyFont="1" applyFill="1" applyBorder="1"/>
    <xf numFmtId="0" fontId="2" fillId="13" borderId="23" xfId="0" applyFont="1" applyFill="1" applyBorder="1"/>
    <xf numFmtId="0" fontId="2" fillId="13" borderId="24" xfId="0" applyFont="1" applyFill="1" applyBorder="1"/>
    <xf numFmtId="167" fontId="2" fillId="13" borderId="18" xfId="0" applyNumberFormat="1" applyFont="1" applyFill="1" applyBorder="1"/>
    <xf numFmtId="0" fontId="5" fillId="13" borderId="14" xfId="0" applyFont="1" applyFill="1" applyBorder="1"/>
    <xf numFmtId="167" fontId="5" fillId="13" borderId="19" xfId="0" applyNumberFormat="1" applyFont="1" applyFill="1" applyBorder="1"/>
    <xf numFmtId="167" fontId="5" fillId="13" borderId="20" xfId="0" applyNumberFormat="1" applyFont="1" applyFill="1" applyBorder="1"/>
    <xf numFmtId="0" fontId="0" fillId="0" borderId="0" xfId="0" pivotButton="1"/>
    <xf numFmtId="0" fontId="0" fillId="0" borderId="0" xfId="0" applyAlignment="1">
      <alignment horizontal="left"/>
    </xf>
    <xf numFmtId="0" fontId="0" fillId="0" borderId="0" xfId="0" applyAlignment="1">
      <alignment horizontal="left" indent="1"/>
    </xf>
    <xf numFmtId="0" fontId="0" fillId="0" borderId="0" xfId="0" applyNumberFormat="1"/>
    <xf numFmtId="168" fontId="0" fillId="0" borderId="0" xfId="0" applyNumberFormat="1"/>
    <xf numFmtId="49" fontId="0" fillId="10" borderId="13" xfId="0" applyNumberFormat="1" applyFont="1" applyFill="1" applyBorder="1"/>
    <xf numFmtId="167" fontId="0" fillId="10" borderId="13" xfId="0" applyNumberFormat="1" applyFont="1" applyFill="1" applyBorder="1"/>
    <xf numFmtId="49" fontId="0" fillId="0" borderId="13" xfId="0" applyNumberFormat="1" applyFont="1" applyBorder="1"/>
    <xf numFmtId="167" fontId="0" fillId="0" borderId="13" xfId="0" applyNumberFormat="1" applyFont="1" applyBorder="1"/>
    <xf numFmtId="1" fontId="0" fillId="10" borderId="13" xfId="0" applyNumberFormat="1" applyFont="1" applyFill="1" applyBorder="1"/>
    <xf numFmtId="1" fontId="0" fillId="0" borderId="13" xfId="0" applyNumberFormat="1" applyFont="1" applyBorder="1"/>
    <xf numFmtId="14" fontId="0" fillId="10" borderId="13" xfId="0" applyNumberFormat="1" applyFont="1" applyFill="1" applyBorder="1"/>
    <xf numFmtId="14" fontId="0" fillId="0" borderId="13" xfId="0" applyNumberFormat="1" applyFont="1" applyBorder="1"/>
    <xf numFmtId="1" fontId="5" fillId="9" borderId="0" xfId="0" applyNumberFormat="1" applyFont="1" applyFill="1" applyBorder="1"/>
    <xf numFmtId="49" fontId="5" fillId="9" borderId="0" xfId="0" applyNumberFormat="1" applyFont="1" applyFill="1" applyBorder="1"/>
    <xf numFmtId="167" fontId="5" fillId="9" borderId="0" xfId="0" applyNumberFormat="1" applyFont="1" applyFill="1" applyBorder="1"/>
    <xf numFmtId="168" fontId="5" fillId="9" borderId="0" xfId="0" applyNumberFormat="1" applyFont="1" applyFill="1" applyBorder="1"/>
    <xf numFmtId="14" fontId="0" fillId="0" borderId="0" xfId="0" applyNumberFormat="1" applyAlignment="1">
      <alignment horizontal="left"/>
    </xf>
    <xf numFmtId="6" fontId="0" fillId="0" borderId="0" xfId="0" applyNumberFormat="1"/>
    <xf numFmtId="10" fontId="0" fillId="0" borderId="0" xfId="0" applyNumberFormat="1"/>
    <xf numFmtId="14" fontId="0" fillId="0" borderId="0" xfId="0" applyNumberFormat="1" applyAlignment="1">
      <alignment horizontal="left" indent="2"/>
    </xf>
    <xf numFmtId="49" fontId="5" fillId="9" borderId="25" xfId="0" applyNumberFormat="1" applyFont="1" applyFill="1" applyBorder="1"/>
    <xf numFmtId="49" fontId="0" fillId="10" borderId="25" xfId="0" applyNumberFormat="1" applyFont="1" applyFill="1" applyBorder="1"/>
    <xf numFmtId="49" fontId="0" fillId="0" borderId="25" xfId="0" applyNumberFormat="1" applyFont="1" applyBorder="1"/>
    <xf numFmtId="0" fontId="3" fillId="10" borderId="26" xfId="0" applyFont="1" applyFill="1" applyBorder="1"/>
    <xf numFmtId="0" fontId="0" fillId="15" borderId="0" xfId="0" applyFill="1"/>
    <xf numFmtId="0" fontId="0" fillId="16" borderId="0" xfId="0" applyFill="1" applyBorder="1"/>
    <xf numFmtId="0" fontId="0" fillId="16" borderId="27" xfId="0" applyFill="1" applyBorder="1"/>
    <xf numFmtId="0" fontId="0" fillId="19" borderId="0" xfId="0" applyFill="1" applyBorder="1"/>
    <xf numFmtId="4" fontId="0" fillId="0" borderId="0" xfId="0" applyNumberFormat="1"/>
    <xf numFmtId="14" fontId="0" fillId="0" borderId="0" xfId="0" applyNumberFormat="1"/>
    <xf numFmtId="164" fontId="0" fillId="0" borderId="0" xfId="0" applyNumberFormat="1"/>
    <xf numFmtId="22" fontId="0" fillId="0" borderId="0" xfId="0" applyNumberFormat="1"/>
    <xf numFmtId="8" fontId="0" fillId="0" borderId="0" xfId="0" applyNumberFormat="1"/>
    <xf numFmtId="0" fontId="0" fillId="14" borderId="0" xfId="0" applyFill="1"/>
    <xf numFmtId="165" fontId="0" fillId="14" borderId="0" xfId="0" applyNumberFormat="1" applyFill="1"/>
    <xf numFmtId="0" fontId="0" fillId="0" borderId="0" xfId="0" applyFill="1" applyBorder="1" applyAlignment="1"/>
    <xf numFmtId="166" fontId="0" fillId="0" borderId="0" xfId="0" applyNumberFormat="1" applyFill="1" applyBorder="1" applyAlignment="1"/>
    <xf numFmtId="0" fontId="0" fillId="0" borderId="10" xfId="0" applyFill="1" applyBorder="1" applyAlignment="1"/>
    <xf numFmtId="0" fontId="7" fillId="20" borderId="28" xfId="0" applyFont="1" applyFill="1" applyBorder="1" applyAlignment="1">
      <alignment horizontal="left"/>
    </xf>
    <xf numFmtId="0" fontId="7" fillId="20" borderId="15" xfId="0" applyFont="1" applyFill="1" applyBorder="1" applyAlignment="1">
      <alignment horizontal="left"/>
    </xf>
    <xf numFmtId="0" fontId="0" fillId="0" borderId="29" xfId="0" applyFill="1" applyBorder="1" applyAlignment="1"/>
    <xf numFmtId="0" fontId="8" fillId="21" borderId="0" xfId="0" applyFont="1" applyFill="1" applyBorder="1" applyAlignment="1">
      <alignment horizontal="left"/>
    </xf>
    <xf numFmtId="0" fontId="9" fillId="21" borderId="29" xfId="0" applyFont="1" applyFill="1" applyBorder="1" applyAlignment="1">
      <alignment horizontal="left"/>
    </xf>
    <xf numFmtId="0" fontId="8" fillId="21" borderId="10" xfId="0" applyFont="1" applyFill="1" applyBorder="1" applyAlignment="1">
      <alignment horizontal="left"/>
    </xf>
    <xf numFmtId="0" fontId="10" fillId="20" borderId="15" xfId="0" applyFont="1" applyFill="1" applyBorder="1" applyAlignment="1">
      <alignment horizontal="right"/>
    </xf>
    <xf numFmtId="0" fontId="10" fillId="20" borderId="28" xfId="0" applyFont="1" applyFill="1" applyBorder="1" applyAlignment="1">
      <alignment horizontal="right"/>
    </xf>
    <xf numFmtId="166" fontId="0" fillId="22" borderId="0" xfId="0" applyNumberFormat="1" applyFill="1" applyBorder="1" applyAlignment="1"/>
    <xf numFmtId="0" fontId="11" fillId="0" borderId="0" xfId="0" applyFont="1" applyFill="1" applyBorder="1" applyAlignment="1">
      <alignment vertical="top" wrapText="1"/>
    </xf>
    <xf numFmtId="9" fontId="3" fillId="0" borderId="0" xfId="0" applyNumberFormat="1" applyFont="1"/>
    <xf numFmtId="165" fontId="3" fillId="0" borderId="0" xfId="0" applyNumberFormat="1" applyFont="1"/>
    <xf numFmtId="1" fontId="3" fillId="0" borderId="0" xfId="0" applyNumberFormat="1" applyFont="1"/>
    <xf numFmtId="0" fontId="3" fillId="6" borderId="4" xfId="0" applyFont="1" applyFill="1" applyBorder="1" applyAlignment="1">
      <alignment horizontal="center"/>
    </xf>
    <xf numFmtId="0" fontId="3" fillId="6" borderId="5" xfId="0" applyFont="1" applyFill="1" applyBorder="1" applyAlignment="1">
      <alignment horizontal="center"/>
    </xf>
    <xf numFmtId="0" fontId="3" fillId="6" borderId="6" xfId="0" applyFont="1" applyFill="1" applyBorder="1" applyAlignment="1">
      <alignment horizontal="center"/>
    </xf>
    <xf numFmtId="0" fontId="2" fillId="17" borderId="4" xfId="0" applyFont="1" applyFill="1" applyBorder="1" applyAlignment="1">
      <alignment horizontal="center"/>
    </xf>
    <xf numFmtId="0" fontId="2" fillId="17" borderId="5" xfId="0" applyFont="1" applyFill="1" applyBorder="1" applyAlignment="1">
      <alignment horizontal="center"/>
    </xf>
    <xf numFmtId="0" fontId="2" fillId="17" borderId="6" xfId="0" applyFont="1" applyFill="1" applyBorder="1" applyAlignment="1">
      <alignment horizontal="center"/>
    </xf>
    <xf numFmtId="0" fontId="0" fillId="14" borderId="0" xfId="0" applyFill="1" applyAlignment="1">
      <alignment horizontal="center"/>
    </xf>
    <xf numFmtId="0" fontId="3" fillId="8" borderId="0" xfId="0" applyFont="1" applyFill="1" applyAlignment="1">
      <alignment horizontal="center"/>
    </xf>
    <xf numFmtId="0" fontId="3" fillId="8" borderId="4" xfId="0" applyFont="1" applyFill="1" applyBorder="1" applyAlignment="1">
      <alignment horizontal="center"/>
    </xf>
    <xf numFmtId="0" fontId="3" fillId="8" borderId="6" xfId="0" applyFont="1" applyFill="1" applyBorder="1" applyAlignment="1">
      <alignment horizontal="center"/>
    </xf>
    <xf numFmtId="0" fontId="12" fillId="18" borderId="10" xfId="0" applyFont="1" applyFill="1" applyBorder="1" applyAlignment="1">
      <alignment horizontal="center"/>
    </xf>
  </cellXfs>
  <cellStyles count="2">
    <cellStyle name="Currency" xfId="1" builtinId="4"/>
    <cellStyle name="Normal" xfId="0" builtinId="0"/>
  </cellStyles>
  <dxfs count="116">
    <dxf>
      <font>
        <b val="0"/>
        <i val="0"/>
        <sz val="11"/>
        <color theme="8" tint="0.39994506668294322"/>
        <name val="Calibri"/>
        <scheme val="minor"/>
      </font>
    </dxf>
    <dxf>
      <numFmt numFmtId="14" formatCode="0.00%"/>
    </dxf>
    <dxf>
      <numFmt numFmtId="14" formatCode="0.00%"/>
    </dxf>
    <dxf>
      <numFmt numFmtId="169" formatCode="0.0%"/>
    </dxf>
    <dxf>
      <numFmt numFmtId="13" formatCode="0%"/>
    </dxf>
    <dxf>
      <numFmt numFmtId="14" formatCode="0.00%"/>
    </dxf>
    <dxf>
      <numFmt numFmtId="14" formatCode="0.00%"/>
    </dxf>
    <dxf>
      <numFmt numFmtId="169" formatCode="0.0%"/>
    </dxf>
    <dxf>
      <numFmt numFmtId="13" formatCode="0%"/>
    </dxf>
    <dxf>
      <numFmt numFmtId="14" formatCode="0.00%"/>
    </dxf>
    <dxf>
      <numFmt numFmtId="14" formatCode="0.00%"/>
    </dxf>
    <dxf>
      <numFmt numFmtId="169" formatCode="0.0%"/>
    </dxf>
    <dxf>
      <numFmt numFmtId="13" formatCode="0%"/>
    </dxf>
    <dxf>
      <numFmt numFmtId="14" formatCode="0.00%"/>
    </dxf>
    <dxf>
      <numFmt numFmtId="14" formatCode="0.00%"/>
    </dxf>
    <dxf>
      <numFmt numFmtId="169" formatCode="0.0%"/>
    </dxf>
    <dxf>
      <numFmt numFmtId="13" formatCode="0%"/>
    </dxf>
    <dxf>
      <numFmt numFmtId="14" formatCode="0.00%"/>
    </dxf>
    <dxf>
      <numFmt numFmtId="14" formatCode="0.00%"/>
    </dxf>
    <dxf>
      <numFmt numFmtId="169" formatCode="0.0%"/>
    </dxf>
    <dxf>
      <numFmt numFmtId="13" formatCode="0%"/>
    </dxf>
    <dxf>
      <numFmt numFmtId="14" formatCode="0.00%"/>
    </dxf>
    <dxf>
      <numFmt numFmtId="14" formatCode="0.00%"/>
    </dxf>
    <dxf>
      <numFmt numFmtId="169" formatCode="0.0%"/>
    </dxf>
    <dxf>
      <numFmt numFmtId="13" formatCode="0%"/>
    </dxf>
    <dxf>
      <numFmt numFmtId="14" formatCode="0.00%"/>
    </dxf>
    <dxf>
      <numFmt numFmtId="14" formatCode="0.00%"/>
    </dxf>
    <dxf>
      <numFmt numFmtId="169" formatCode="0.0%"/>
    </dxf>
    <dxf>
      <numFmt numFmtId="13" formatCode="0%"/>
    </dxf>
    <dxf>
      <numFmt numFmtId="14" formatCode="0.00%"/>
    </dxf>
    <dxf>
      <numFmt numFmtId="14" formatCode="0.00%"/>
    </dxf>
    <dxf>
      <numFmt numFmtId="169" formatCode="0.0%"/>
    </dxf>
    <dxf>
      <numFmt numFmtId="13" formatCode="0%"/>
    </dxf>
    <dxf>
      <numFmt numFmtId="14" formatCode="0.00%"/>
    </dxf>
    <dxf>
      <numFmt numFmtId="14" formatCode="0.00%"/>
    </dxf>
    <dxf>
      <numFmt numFmtId="169" formatCode="0.0%"/>
    </dxf>
    <dxf>
      <numFmt numFmtId="13" formatCode="0%"/>
    </dxf>
    <dxf>
      <numFmt numFmtId="14" formatCode="0.00%"/>
    </dxf>
    <dxf>
      <numFmt numFmtId="14" formatCode="0.00%"/>
    </dxf>
    <dxf>
      <numFmt numFmtId="169" formatCode="0.0%"/>
    </dxf>
    <dxf>
      <numFmt numFmtId="13" formatCode="0%"/>
    </dxf>
    <dxf>
      <numFmt numFmtId="14" formatCode="0.00%"/>
    </dxf>
    <dxf>
      <numFmt numFmtId="14" formatCode="0.00%"/>
    </dxf>
    <dxf>
      <numFmt numFmtId="169" formatCode="0.0%"/>
    </dxf>
    <dxf>
      <numFmt numFmtId="13" formatCode="0%"/>
    </dxf>
    <dxf>
      <numFmt numFmtId="14" formatCode="0.00%"/>
    </dxf>
    <dxf>
      <numFmt numFmtId="14" formatCode="0.00%"/>
    </dxf>
    <dxf>
      <numFmt numFmtId="169" formatCode="0.0%"/>
    </dxf>
    <dxf>
      <numFmt numFmtId="13" formatCode="0%"/>
    </dxf>
    <dxf>
      <numFmt numFmtId="14" formatCode="0.00%"/>
    </dxf>
    <dxf>
      <numFmt numFmtId="14" formatCode="0.00%"/>
    </dxf>
    <dxf>
      <numFmt numFmtId="169" formatCode="0.0%"/>
    </dxf>
    <dxf>
      <numFmt numFmtId="13" formatCode="0%"/>
    </dxf>
    <dxf>
      <numFmt numFmtId="14" formatCode="0.00%"/>
    </dxf>
    <dxf>
      <numFmt numFmtId="14" formatCode="0.00%"/>
    </dxf>
    <dxf>
      <numFmt numFmtId="169" formatCode="0.0%"/>
    </dxf>
    <dxf>
      <numFmt numFmtId="13" formatCode="0%"/>
    </dxf>
    <dxf>
      <numFmt numFmtId="14" formatCode="0.00%"/>
    </dxf>
    <dxf>
      <numFmt numFmtId="14" formatCode="0.00%"/>
    </dxf>
    <dxf>
      <numFmt numFmtId="169" formatCode="0.0%"/>
    </dxf>
    <dxf>
      <numFmt numFmtId="13" formatCode="0%"/>
    </dxf>
    <dxf>
      <numFmt numFmtId="14" formatCode="0.00%"/>
    </dxf>
    <dxf>
      <numFmt numFmtId="14" formatCode="0.00%"/>
    </dxf>
    <dxf>
      <numFmt numFmtId="169" formatCode="0.0%"/>
    </dxf>
    <dxf>
      <numFmt numFmtId="13" formatCode="0%"/>
    </dxf>
    <dxf>
      <numFmt numFmtId="14" formatCode="0.00%"/>
    </dxf>
    <dxf>
      <numFmt numFmtId="14" formatCode="0.00%"/>
    </dxf>
    <dxf>
      <numFmt numFmtId="169" formatCode="0.0%"/>
    </dxf>
    <dxf>
      <numFmt numFmtId="13" formatCode="0%"/>
    </dxf>
    <dxf>
      <numFmt numFmtId="14" formatCode="0.00%"/>
    </dxf>
    <dxf>
      <numFmt numFmtId="14" formatCode="0.00%"/>
    </dxf>
    <dxf>
      <numFmt numFmtId="169" formatCode="0.0%"/>
    </dxf>
    <dxf>
      <numFmt numFmtId="13" formatCode="0%"/>
    </dxf>
    <dxf>
      <numFmt numFmtId="14" formatCode="0.00%"/>
    </dxf>
    <dxf>
      <numFmt numFmtId="14" formatCode="0.00%"/>
    </dxf>
    <dxf>
      <numFmt numFmtId="169" formatCode="0.0%"/>
    </dxf>
    <dxf>
      <numFmt numFmtId="13" formatCode="0%"/>
    </dxf>
    <dxf>
      <numFmt numFmtId="14" formatCode="0.00%"/>
    </dxf>
    <dxf>
      <numFmt numFmtId="14" formatCode="0.00%"/>
    </dxf>
    <dxf>
      <numFmt numFmtId="169" formatCode="0.0%"/>
    </dxf>
    <dxf>
      <numFmt numFmtId="13" formatCode="0%"/>
    </dxf>
    <dxf>
      <numFmt numFmtId="14" formatCode="0.00%"/>
    </dxf>
    <dxf>
      <numFmt numFmtId="14" formatCode="0.00%"/>
    </dxf>
    <dxf>
      <numFmt numFmtId="169" formatCode="0.0%"/>
    </dxf>
    <dxf>
      <numFmt numFmtId="13" formatCode="0%"/>
    </dxf>
    <dxf>
      <font>
        <b val="0"/>
        <i val="0"/>
        <strike val="0"/>
        <condense val="0"/>
        <extend val="0"/>
        <outline val="0"/>
        <shadow val="0"/>
        <u val="none"/>
        <vertAlign val="baseline"/>
        <sz val="11"/>
        <color theme="1"/>
        <name val="Calibri"/>
        <scheme val="minor"/>
      </font>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scheme val="minor"/>
      </font>
      <border diagonalUp="0" diagonalDown="0">
        <left/>
        <right/>
        <top style="thin">
          <color theme="4" tint="0.39997558519241921"/>
        </top>
        <bottom/>
        <vertical/>
        <horizontal/>
      </border>
    </dxf>
    <dxf>
      <border outline="0">
        <left style="thin">
          <color theme="4" tint="0.39997558519241921"/>
        </left>
        <right style="thin">
          <color theme="4" tint="0.39997558519241921"/>
        </right>
        <top style="thin">
          <color theme="4" tint="0.39997558519241921"/>
        </top>
        <bottom style="thin">
          <color theme="4" tint="0.39997558519241921"/>
        </bottom>
      </border>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dxf>
    <dxf>
      <font>
        <b val="0"/>
        <i val="0"/>
        <strike val="0"/>
        <condense val="0"/>
        <extend val="0"/>
        <outline val="0"/>
        <shadow val="0"/>
        <u val="none"/>
        <vertAlign val="baseline"/>
        <sz val="11"/>
        <color theme="1"/>
        <name val="Calibri"/>
        <scheme val="minor"/>
      </font>
      <numFmt numFmtId="19" formatCode="m/d/yyyy"/>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scheme val="minor"/>
      </font>
      <numFmt numFmtId="167" formatCode="_([$$-409]* #,##0.00_);_([$$-409]* \(#,##0.00\);_([$$-409]* &quot;-&quot;??_);_(@_)"/>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scheme val="minor"/>
      </font>
      <numFmt numFmtId="167" formatCode="_([$$-409]* #,##0.00_);_([$$-409]* \(#,##0.00\);_([$$-409]* &quot;-&quot;??_);_(@_)"/>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scheme val="minor"/>
      </font>
      <numFmt numFmtId="167" formatCode="_([$$-409]* #,##0.00_);_([$$-409]* \(#,##0.00\);_([$$-409]* &quot;-&quot;??_);_(@_)"/>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scheme val="minor"/>
      </font>
      <numFmt numFmtId="30" formatCode="@"/>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scheme val="minor"/>
      </font>
      <numFmt numFmtId="30" formatCode="@"/>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scheme val="minor"/>
      </font>
      <numFmt numFmtId="30" formatCode="@"/>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scheme val="minor"/>
      </font>
      <numFmt numFmtId="30" formatCode="@"/>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scheme val="minor"/>
      </font>
      <numFmt numFmtId="1" formatCode="0"/>
      <border diagonalUp="0" diagonalDown="0">
        <left/>
        <right/>
        <top style="thin">
          <color theme="4" tint="0.39997558519241921"/>
        </top>
        <bottom/>
        <vertical/>
        <horizontal/>
      </border>
    </dxf>
    <dxf>
      <border outline="0">
        <left style="thin">
          <color theme="4" tint="0.39997558519241921"/>
        </left>
        <right style="thin">
          <color theme="4" tint="0.39997558519241921"/>
        </right>
        <top style="thin">
          <color theme="4" tint="0.39997558519241921"/>
        </top>
        <bottom style="thin">
          <color theme="4" tint="0.39997558519241921"/>
        </bottom>
      </border>
    </dxf>
    <dxf>
      <font>
        <b val="0"/>
        <i val="0"/>
        <strike val="0"/>
        <condense val="0"/>
        <extend val="0"/>
        <outline val="0"/>
        <shadow val="0"/>
        <u val="none"/>
        <vertAlign val="baseline"/>
        <sz val="11"/>
        <color theme="1"/>
        <name val="Calibri"/>
        <scheme val="minor"/>
      </font>
    </dxf>
    <dxf>
      <font>
        <b/>
        <i val="0"/>
        <strike val="0"/>
        <condense val="0"/>
        <extend val="0"/>
        <outline val="0"/>
        <shadow val="0"/>
        <u val="none"/>
        <vertAlign val="baseline"/>
        <sz val="11"/>
        <color auto="1"/>
        <name val="Calibri"/>
        <scheme val="minor"/>
      </font>
      <numFmt numFmtId="167" formatCode="_([$$-409]* #,##0.00_);_([$$-409]* \(#,##0.00\);_([$$-409]* &quot;-&quot;??_);_(@_)"/>
      <fill>
        <patternFill patternType="solid">
          <fgColor indexed="64"/>
          <bgColor rgb="FFFFC000"/>
        </patternFill>
      </fill>
    </dxf>
    <dxf>
      <numFmt numFmtId="4" formatCode="#,##0.00"/>
    </dxf>
    <dxf>
      <numFmt numFmtId="164" formatCode="_([$$-409]* #,##0_);_([$$-409]* \(#,##0\);_([$$-409]* &quot;-&quot;??_);_(@_)"/>
    </dxf>
    <dxf>
      <numFmt numFmtId="164" formatCode="_([$$-409]* #,##0_);_([$$-409]* \(#,##0\);_([$$-409]* &quot;-&quot;??_);_(@_)"/>
    </dxf>
    <dxf>
      <numFmt numFmtId="164" formatCode="_([$$-409]* #,##0_);_([$$-409]* \(#,##0\);_([$$-409]* &quot;-&quot;??_);_(@_)"/>
    </dxf>
    <dxf>
      <numFmt numFmtId="19" formatCode="m/d/yyyy"/>
    </dxf>
    <dxf>
      <numFmt numFmtId="13" formatCode="0%"/>
    </dxf>
    <dxf>
      <numFmt numFmtId="169" formatCode="0.0%"/>
    </dxf>
    <dxf>
      <numFmt numFmtId="14" formatCode="0.00%"/>
    </dxf>
    <dxf>
      <numFmt numFmtId="14" formatCode="0.00%"/>
    </dxf>
    <dxf>
      <numFmt numFmtId="165" formatCode="&quot;$&quot;#,##0"/>
    </dxf>
    <dxf>
      <numFmt numFmtId="165" formatCode="&quot;$&quot;#,##0"/>
    </dxf>
    <dxf>
      <numFmt numFmtId="166" formatCode="&quot;$&quot;#,##0.00"/>
    </dxf>
    <dxf>
      <numFmt numFmtId="166" formatCode="&quot;$&quot;#,##0.00"/>
    </dxf>
    <dxf>
      <numFmt numFmtId="166" formatCode="&quot;$&quot;#,##0.00"/>
    </dxf>
  </dxfs>
  <tableStyles count="1" defaultTableStyle="TableStyleMedium2" defaultPivotStyle="PivotStyleLight16">
    <tableStyle name="Slicer Style 1" pivot="0" table="0" count="1">
      <tableStyleElement type="wholeTable" dxfId="0"/>
    </tableStyle>
  </tableStyles>
  <colors>
    <mruColors>
      <color rgb="FFFFFF99"/>
    </mruColors>
  </colors>
  <extLst>
    <ext xmlns:x14="http://schemas.microsoft.com/office/spreadsheetml/2009/9/main" uri="{EB79DEF2-80B8-43e5-95BD-54CBDDF9020C}">
      <x14:slicerStyles defaultSlicerStyle="SlicerStyleLight1">
        <x14:slicerStyle name="Slicer Style 1"/>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chartsheet" Target="chartsheets/sheet1.xml"/><Relationship Id="rId18" Type="http://schemas.openxmlformats.org/officeDocument/2006/relationships/worksheet" Target="worksheets/sheet17.xml"/><Relationship Id="rId26" Type="http://schemas.openxmlformats.org/officeDocument/2006/relationships/worksheet" Target="worksheets/sheet25.xml"/><Relationship Id="rId39" Type="http://schemas.openxmlformats.org/officeDocument/2006/relationships/worksheet" Target="worksheets/sheet38.xml"/><Relationship Id="rId3" Type="http://schemas.openxmlformats.org/officeDocument/2006/relationships/worksheet" Target="worksheets/sheet3.xml"/><Relationship Id="rId21" Type="http://schemas.openxmlformats.org/officeDocument/2006/relationships/worksheet" Target="worksheets/sheet20.xml"/><Relationship Id="rId34" Type="http://schemas.openxmlformats.org/officeDocument/2006/relationships/worksheet" Target="worksheets/sheet33.xml"/><Relationship Id="rId42" Type="http://schemas.openxmlformats.org/officeDocument/2006/relationships/worksheet" Target="worksheets/sheet41.xml"/><Relationship Id="rId47" Type="http://schemas.microsoft.com/office/2007/relationships/slicerCache" Target="slicerCaches/slicerCache2.xml"/><Relationship Id="rId50"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6.xml"/><Relationship Id="rId25" Type="http://schemas.openxmlformats.org/officeDocument/2006/relationships/worksheet" Target="worksheets/sheet24.xml"/><Relationship Id="rId33" Type="http://schemas.openxmlformats.org/officeDocument/2006/relationships/worksheet" Target="worksheets/sheet32.xml"/><Relationship Id="rId38" Type="http://schemas.openxmlformats.org/officeDocument/2006/relationships/worksheet" Target="worksheets/sheet37.xml"/><Relationship Id="rId46" Type="http://schemas.microsoft.com/office/2007/relationships/slicerCache" Target="slicerCaches/slicerCache1.xml"/><Relationship Id="rId2" Type="http://schemas.openxmlformats.org/officeDocument/2006/relationships/worksheet" Target="worksheets/sheet2.xml"/><Relationship Id="rId16" Type="http://schemas.openxmlformats.org/officeDocument/2006/relationships/worksheet" Target="worksheets/sheet15.xml"/><Relationship Id="rId20" Type="http://schemas.openxmlformats.org/officeDocument/2006/relationships/worksheet" Target="worksheets/sheet19.xml"/><Relationship Id="rId29" Type="http://schemas.openxmlformats.org/officeDocument/2006/relationships/worksheet" Target="worksheets/sheet28.xml"/><Relationship Id="rId41" Type="http://schemas.openxmlformats.org/officeDocument/2006/relationships/worksheet" Target="worksheets/sheet4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3.xml"/><Relationship Id="rId32" Type="http://schemas.openxmlformats.org/officeDocument/2006/relationships/worksheet" Target="worksheets/sheet31.xml"/><Relationship Id="rId37" Type="http://schemas.openxmlformats.org/officeDocument/2006/relationships/worksheet" Target="worksheets/sheet36.xml"/><Relationship Id="rId40" Type="http://schemas.openxmlformats.org/officeDocument/2006/relationships/worksheet" Target="worksheets/sheet39.xml"/><Relationship Id="rId45" Type="http://schemas.openxmlformats.org/officeDocument/2006/relationships/pivotCacheDefinition" Target="pivotCache/pivotCacheDefinition2.xml"/><Relationship Id="rId53"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4.xml"/><Relationship Id="rId23" Type="http://schemas.openxmlformats.org/officeDocument/2006/relationships/worksheet" Target="worksheets/sheet22.xml"/><Relationship Id="rId28" Type="http://schemas.openxmlformats.org/officeDocument/2006/relationships/worksheet" Target="worksheets/sheet27.xml"/><Relationship Id="rId36" Type="http://schemas.openxmlformats.org/officeDocument/2006/relationships/worksheet" Target="worksheets/sheet35.xml"/><Relationship Id="rId49" Type="http://schemas.microsoft.com/office/2007/relationships/slicerCache" Target="slicerCaches/slicerCache4.xml"/><Relationship Id="rId10" Type="http://schemas.openxmlformats.org/officeDocument/2006/relationships/worksheet" Target="worksheets/sheet10.xml"/><Relationship Id="rId19" Type="http://schemas.openxmlformats.org/officeDocument/2006/relationships/worksheet" Target="worksheets/sheet18.xml"/><Relationship Id="rId31" Type="http://schemas.openxmlformats.org/officeDocument/2006/relationships/worksheet" Target="worksheets/sheet30.xml"/><Relationship Id="rId44" Type="http://schemas.openxmlformats.org/officeDocument/2006/relationships/pivotCacheDefinition" Target="pivotCache/pivotCacheDefinition1.xml"/><Relationship Id="rId52"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3.xml"/><Relationship Id="rId22" Type="http://schemas.openxmlformats.org/officeDocument/2006/relationships/worksheet" Target="worksheets/sheet21.xml"/><Relationship Id="rId27" Type="http://schemas.openxmlformats.org/officeDocument/2006/relationships/worksheet" Target="worksheets/sheet26.xml"/><Relationship Id="rId30" Type="http://schemas.openxmlformats.org/officeDocument/2006/relationships/worksheet" Target="worksheets/sheet29.xml"/><Relationship Id="rId35" Type="http://schemas.openxmlformats.org/officeDocument/2006/relationships/worksheet" Target="worksheets/sheet34.xml"/><Relationship Id="rId43" Type="http://schemas.openxmlformats.org/officeDocument/2006/relationships/worksheet" Target="worksheets/sheet42.xml"/><Relationship Id="rId48" Type="http://schemas.microsoft.com/office/2007/relationships/slicerCache" Target="slicerCaches/slicerCache3.xml"/><Relationship Id="rId8" Type="http://schemas.openxmlformats.org/officeDocument/2006/relationships/worksheet" Target="worksheets/sheet8.xml"/><Relationship Id="rId51" Type="http://schemas.openxmlformats.org/officeDocument/2006/relationships/styles" Target="styles.xml"/></Relationships>
</file>

<file path=xl/charts/_rels/chart5.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7.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8.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9.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10.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11.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12.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13.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14.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5.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6.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7.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8.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9.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Product profit</a:t>
            </a:r>
          </a:p>
        </c:rich>
      </c:tx>
      <c:overlay val="0"/>
      <c:spPr>
        <a:noFill/>
        <a:ln>
          <a:noFill/>
        </a:ln>
        <a:effectLst/>
      </c:spPr>
    </c:title>
    <c:autoTitleDeleted val="0"/>
    <c:view3D>
      <c:rotX val="15"/>
      <c:rotY val="2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chat!$B$1</c:f>
              <c:strCache>
                <c:ptCount val="1"/>
                <c:pt idx="0">
                  <c:v>Profit</c:v>
                </c:pt>
              </c:strCache>
            </c:strRef>
          </c:tx>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cat>
            <c:strRef>
              <c:f>chat!$A$2:$A$11</c:f>
              <c:strCache>
                <c:ptCount val="10"/>
                <c:pt idx="0">
                  <c:v>amareno</c:v>
                </c:pt>
                <c:pt idx="1">
                  <c:v>beans</c:v>
                </c:pt>
                <c:pt idx="2">
                  <c:v>bread</c:v>
                </c:pt>
                <c:pt idx="3">
                  <c:v>coke</c:v>
                </c:pt>
                <c:pt idx="4">
                  <c:v>colombian</c:v>
                </c:pt>
                <c:pt idx="5">
                  <c:v>cream</c:v>
                </c:pt>
                <c:pt idx="6">
                  <c:v>expresso</c:v>
                </c:pt>
                <c:pt idx="7">
                  <c:v>fanta</c:v>
                </c:pt>
                <c:pt idx="8">
                  <c:v>rice</c:v>
                </c:pt>
                <c:pt idx="9">
                  <c:v>yam</c:v>
                </c:pt>
              </c:strCache>
            </c:strRef>
          </c:cat>
          <c:val>
            <c:numRef>
              <c:f>chat!$B$2:$B$11</c:f>
              <c:numCache>
                <c:formatCode>_([$$-409]* #,##0.00_);_([$$-409]* \(#,##0.00\);_([$$-409]* "-"??_);_(@_)</c:formatCode>
                <c:ptCount val="10"/>
                <c:pt idx="0">
                  <c:v>12</c:v>
                </c:pt>
                <c:pt idx="1">
                  <c:v>45</c:v>
                </c:pt>
                <c:pt idx="2">
                  <c:v>50</c:v>
                </c:pt>
                <c:pt idx="3">
                  <c:v>67</c:v>
                </c:pt>
                <c:pt idx="4">
                  <c:v>67</c:v>
                </c:pt>
                <c:pt idx="5">
                  <c:v>69</c:v>
                </c:pt>
                <c:pt idx="6">
                  <c:v>78</c:v>
                </c:pt>
                <c:pt idx="7">
                  <c:v>87</c:v>
                </c:pt>
                <c:pt idx="8">
                  <c:v>89</c:v>
                </c:pt>
                <c:pt idx="9">
                  <c:v>101</c:v>
                </c:pt>
              </c:numCache>
            </c:numRef>
          </c:val>
          <c:extLst>
            <c:ext xmlns:c16="http://schemas.microsoft.com/office/drawing/2014/chart" uri="{C3380CC4-5D6E-409C-BE32-E72D297353CC}">
              <c16:uniqueId val="{00000000-91BA-4434-A231-0F64D74FC689}"/>
            </c:ext>
          </c:extLst>
        </c:ser>
        <c:dLbls>
          <c:showLegendKey val="0"/>
          <c:showVal val="0"/>
          <c:showCatName val="0"/>
          <c:showSerName val="0"/>
          <c:showPercent val="0"/>
          <c:showBubbleSize val="0"/>
        </c:dLbls>
        <c:gapWidth val="115"/>
        <c:shape val="box"/>
        <c:axId val="143204736"/>
        <c:axId val="143206272"/>
        <c:axId val="0"/>
      </c:bar3DChart>
      <c:catAx>
        <c:axId val="143204736"/>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43206272"/>
        <c:crosses val="autoZero"/>
        <c:auto val="1"/>
        <c:lblAlgn val="ctr"/>
        <c:lblOffset val="100"/>
        <c:noMultiLvlLbl val="0"/>
      </c:catAx>
      <c:valAx>
        <c:axId val="143206272"/>
        <c:scaling>
          <c:orientation val="minMax"/>
        </c:scaling>
        <c:delete val="0"/>
        <c:axPos val="l"/>
        <c:majorGridlines>
          <c:spPr>
            <a:ln w="9525" cap="flat" cmpd="sng" algn="ctr">
              <a:solidFill>
                <a:schemeClr val="lt1">
                  <a:lumMod val="95000"/>
                  <a:alpha val="10000"/>
                </a:schemeClr>
              </a:solidFill>
              <a:round/>
            </a:ln>
            <a:effectLst/>
          </c:spPr>
        </c:majorGridlines>
        <c:numFmt formatCode="_([$$-409]* #,##0.00_);_([$$-409]* \(#,##0.00\);_([$$-409]*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4320473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[data1.xlsx]Sheet20!PivotTable1</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s>
    <c:plotArea>
      <c:layout/>
      <c:barChart>
        <c:barDir val="col"/>
        <c:grouping val="clustered"/>
        <c:varyColors val="0"/>
        <c:ser>
          <c:idx val="0"/>
          <c:order val="0"/>
          <c:tx>
            <c:strRef>
              <c:f>Sheet20!$B$3</c:f>
              <c:strCache>
                <c:ptCount val="1"/>
                <c:pt idx="0">
                  <c:v>Total</c:v>
                </c:pt>
              </c:strCache>
            </c:strRef>
          </c:tx>
          <c:spPr>
            <a:solidFill>
              <a:schemeClr val="accent1"/>
            </a:solidFill>
            <a:ln>
              <a:noFill/>
            </a:ln>
            <a:effectLst/>
          </c:spPr>
          <c:invertIfNegative val="0"/>
          <c:cat>
            <c:strRef>
              <c:f>Sheet20!$A$4:$A$8</c:f>
              <c:strCache>
                <c:ptCount val="4"/>
                <c:pt idx="0">
                  <c:v>central</c:v>
                </c:pt>
                <c:pt idx="1">
                  <c:v>west</c:v>
                </c:pt>
                <c:pt idx="2">
                  <c:v>south</c:v>
                </c:pt>
                <c:pt idx="3">
                  <c:v>east</c:v>
                </c:pt>
              </c:strCache>
            </c:strRef>
          </c:cat>
          <c:val>
            <c:numRef>
              <c:f>Sheet20!$B$4:$B$8</c:f>
              <c:numCache>
                <c:formatCode>General</c:formatCode>
                <c:ptCount val="4"/>
                <c:pt idx="0">
                  <c:v>426</c:v>
                </c:pt>
                <c:pt idx="1">
                  <c:v>295</c:v>
                </c:pt>
                <c:pt idx="2">
                  <c:v>211</c:v>
                </c:pt>
                <c:pt idx="3">
                  <c:v>162</c:v>
                </c:pt>
              </c:numCache>
            </c:numRef>
          </c:val>
          <c:extLst>
            <c:ext xmlns:c16="http://schemas.microsoft.com/office/drawing/2014/chart" uri="{C3380CC4-5D6E-409C-BE32-E72D297353CC}">
              <c16:uniqueId val="{00000000-E514-4F8F-8BB2-221278E894A4}"/>
            </c:ext>
          </c:extLst>
        </c:ser>
        <c:dLbls>
          <c:showLegendKey val="0"/>
          <c:showVal val="0"/>
          <c:showCatName val="0"/>
          <c:showSerName val="0"/>
          <c:showPercent val="0"/>
          <c:showBubbleSize val="0"/>
        </c:dLbls>
        <c:gapWidth val="219"/>
        <c:overlap val="-27"/>
        <c:axId val="143813248"/>
        <c:axId val="143823232"/>
      </c:barChart>
      <c:catAx>
        <c:axId val="14381324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3823232"/>
        <c:crosses val="autoZero"/>
        <c:auto val="1"/>
        <c:lblAlgn val="ctr"/>
        <c:lblOffset val="100"/>
        <c:noMultiLvlLbl val="0"/>
      </c:catAx>
      <c:valAx>
        <c:axId val="14382323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381324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[data1.xlsx]Sheet20!PivotTable1</c:name>
    <c:fmtId val="1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regional</a:t>
            </a:r>
            <a:r>
              <a:rPr lang="en-US" baseline="0"/>
              <a:t> profit</a:t>
            </a:r>
          </a:p>
          <a:p>
            <a:pPr>
              <a:defRPr sz="1400" b="0" i="0" u="none" strike="noStrike" kern="1200" spc="0" baseline="0">
                <a:solidFill>
                  <a:schemeClr val="tx1">
                    <a:lumMod val="65000"/>
                    <a:lumOff val="35000"/>
                  </a:schemeClr>
                </a:solidFill>
                <a:latin typeface="+mn-lt"/>
                <a:ea typeface="+mn-ea"/>
                <a:cs typeface="+mn-cs"/>
              </a:defRPr>
            </a:pPr>
            <a:endParaRPr lang="en-US"/>
          </a:p>
        </c:rich>
      </c:tx>
      <c:overlay val="0"/>
      <c:spPr>
        <a:noFill/>
        <a:ln>
          <a:noFill/>
        </a:ln>
        <a:effectLst/>
      </c:spPr>
    </c:title>
    <c:autoTitleDeleted val="0"/>
    <c:pivotFmts>
      <c:pivotFmt>
        <c:idx val="0"/>
        <c:spPr>
          <a:solidFill>
            <a:schemeClr val="accent1"/>
          </a:solidFill>
          <a:ln w="19050">
            <a:solidFill>
              <a:schemeClr val="lt1"/>
            </a:solidFill>
          </a:ln>
          <a:effectLst/>
        </c:spPr>
        <c:marker>
          <c:symbol val="none"/>
        </c:marker>
      </c:pivotFmt>
      <c:pivotFmt>
        <c:idx val="1"/>
        <c:spPr>
          <a:solidFill>
            <a:schemeClr val="accent1"/>
          </a:solidFill>
          <a:ln w="19050">
            <a:solidFill>
              <a:schemeClr val="lt1"/>
            </a:solidFill>
          </a:ln>
          <a:effectLst/>
        </c:spPr>
        <c:marker>
          <c:symbol val="none"/>
        </c:marker>
        <c:dLbl>
          <c:idx val="0"/>
          <c:numFmt formatCode="General"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marker>
          <c:symbol val="none"/>
        </c:marker>
        <c:dLbl>
          <c:idx val="0"/>
          <c:numFmt formatCode="General"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1"/>
          <c:showSerName val="0"/>
          <c:showPercent val="1"/>
          <c:showBubbleSize val="0"/>
          <c:extLst>
            <c:ext xmlns:c15="http://schemas.microsoft.com/office/drawing/2012/chart" uri="{CE6537A1-D6FC-4f65-9D91-7224C49458BB}"/>
          </c:extLst>
        </c:dLbl>
      </c:pivotFmt>
      <c:pivotFmt>
        <c:idx val="7"/>
        <c:marker>
          <c:symbol val="none"/>
        </c:marker>
        <c:dLbl>
          <c:idx val="0"/>
          <c:numFmt formatCode="General"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1"/>
          <c:showSerName val="0"/>
          <c:showPercent val="1"/>
          <c:showBubbleSize val="0"/>
          <c:extLst>
            <c:ext xmlns:c15="http://schemas.microsoft.com/office/drawing/2012/chart" uri="{CE6537A1-D6FC-4f65-9D91-7224C49458BB}"/>
          </c:extLst>
        </c:dLbl>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3"/>
          </a:solidFill>
          <a:ln w="19050">
            <a:solidFill>
              <a:schemeClr val="lt1"/>
            </a:solidFill>
          </a:ln>
          <a:effectLst/>
        </c:spPr>
      </c:pivotFmt>
      <c:pivotFmt>
        <c:idx val="11"/>
        <c:spPr>
          <a:solidFill>
            <a:schemeClr val="accent4"/>
          </a:solidFill>
          <a:ln w="19050">
            <a:solidFill>
              <a:schemeClr val="lt1"/>
            </a:solidFill>
          </a:ln>
          <a:effectLst/>
        </c:spPr>
      </c:pivotFmt>
    </c:pivotFmts>
    <c:plotArea>
      <c:layout/>
      <c:pieChart>
        <c:varyColors val="1"/>
        <c:ser>
          <c:idx val="0"/>
          <c:order val="0"/>
          <c:tx>
            <c:strRef>
              <c:f>Sheet20!$B$3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1534-4162-AE45-633B7C73E56F}"/>
              </c:ext>
            </c:extLst>
          </c:dPt>
          <c:dPt>
            <c:idx val="1"/>
            <c:bubble3D val="0"/>
            <c:spPr>
              <a:solidFill>
                <a:schemeClr val="accent1"/>
              </a:solidFill>
              <a:ln w="19050">
                <a:solidFill>
                  <a:schemeClr val="lt1"/>
                </a:solidFill>
              </a:ln>
              <a:effectLst/>
            </c:spPr>
            <c:extLst>
              <c:ext xmlns:c16="http://schemas.microsoft.com/office/drawing/2014/chart" uri="{C3380CC4-5D6E-409C-BE32-E72D297353CC}">
                <c16:uniqueId val="{00000003-1534-4162-AE45-633B7C73E56F}"/>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1534-4162-AE45-633B7C73E56F}"/>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1534-4162-AE45-633B7C73E56F}"/>
              </c:ext>
            </c:extLst>
          </c:dPt>
          <c:dLbls>
            <c:numFmt formatCode="General"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Sheet20!$A$4:$A$8</c:f>
              <c:strCache>
                <c:ptCount val="4"/>
                <c:pt idx="0">
                  <c:v>central</c:v>
                </c:pt>
                <c:pt idx="1">
                  <c:v>west</c:v>
                </c:pt>
                <c:pt idx="2">
                  <c:v>south</c:v>
                </c:pt>
                <c:pt idx="3">
                  <c:v>east</c:v>
                </c:pt>
              </c:strCache>
            </c:strRef>
          </c:cat>
          <c:val>
            <c:numRef>
              <c:f>Sheet20!$B$4:$B$8</c:f>
              <c:numCache>
                <c:formatCode>General</c:formatCode>
                <c:ptCount val="4"/>
                <c:pt idx="0">
                  <c:v>426</c:v>
                </c:pt>
                <c:pt idx="1">
                  <c:v>295</c:v>
                </c:pt>
                <c:pt idx="2">
                  <c:v>211</c:v>
                </c:pt>
                <c:pt idx="3">
                  <c:v>162</c:v>
                </c:pt>
              </c:numCache>
            </c:numRef>
          </c:val>
          <c:extLst>
            <c:ext xmlns:c16="http://schemas.microsoft.com/office/drawing/2014/chart" uri="{C3380CC4-5D6E-409C-BE32-E72D297353CC}">
              <c16:uniqueId val="{00000000-0427-436F-B935-124AB723161D}"/>
            </c:ext>
          </c:extLst>
        </c:ser>
        <c:dLbls>
          <c:dLblPos val="outEnd"/>
          <c:showLegendKey val="0"/>
          <c:showVal val="1"/>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[data1.xlsx]Sheet21!PivotTable1</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pivotFmt>
    </c:pivotFmts>
    <c:plotArea>
      <c:layout/>
      <c:lineChart>
        <c:grouping val="standard"/>
        <c:varyColors val="0"/>
        <c:ser>
          <c:idx val="0"/>
          <c:order val="0"/>
          <c:tx>
            <c:strRef>
              <c:f>Sheet21!$B$3</c:f>
              <c:strCache>
                <c:ptCount val="1"/>
                <c:pt idx="0">
                  <c:v>Total</c:v>
                </c:pt>
              </c:strCache>
            </c:strRef>
          </c:tx>
          <c:spPr>
            <a:ln w="28575" cap="rnd">
              <a:solidFill>
                <a:schemeClr val="accent1"/>
              </a:solidFill>
              <a:round/>
            </a:ln>
            <a:effectLst/>
          </c:spPr>
          <c:marker>
            <c:symbol val="none"/>
          </c:marker>
          <c:cat>
            <c:strRef>
              <c:f>Sheet21!$A$4:$A$6</c:f>
              <c:strCache>
                <c:ptCount val="2"/>
                <c:pt idx="0">
                  <c:v>2021</c:v>
                </c:pt>
                <c:pt idx="1">
                  <c:v>2022</c:v>
                </c:pt>
              </c:strCache>
            </c:strRef>
          </c:cat>
          <c:val>
            <c:numRef>
              <c:f>Sheet21!$B$4:$B$6</c:f>
              <c:numCache>
                <c:formatCode>General</c:formatCode>
                <c:ptCount val="2"/>
                <c:pt idx="0">
                  <c:v>1018</c:v>
                </c:pt>
                <c:pt idx="1">
                  <c:v>76</c:v>
                </c:pt>
              </c:numCache>
            </c:numRef>
          </c:val>
          <c:smooth val="0"/>
          <c:extLst>
            <c:ext xmlns:c16="http://schemas.microsoft.com/office/drawing/2014/chart" uri="{C3380CC4-5D6E-409C-BE32-E72D297353CC}">
              <c16:uniqueId val="{00000000-0E3B-4D36-8779-2CFC4735BA98}"/>
            </c:ext>
          </c:extLst>
        </c:ser>
        <c:dLbls>
          <c:showLegendKey val="0"/>
          <c:showVal val="0"/>
          <c:showCatName val="0"/>
          <c:showSerName val="0"/>
          <c:showPercent val="0"/>
          <c:showBubbleSize val="0"/>
        </c:dLbls>
        <c:smooth val="0"/>
        <c:axId val="144143872"/>
        <c:axId val="144145408"/>
      </c:lineChart>
      <c:catAx>
        <c:axId val="14414387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4145408"/>
        <c:crosses val="autoZero"/>
        <c:auto val="1"/>
        <c:lblAlgn val="ctr"/>
        <c:lblOffset val="100"/>
        <c:noMultiLvlLbl val="0"/>
      </c:catAx>
      <c:valAx>
        <c:axId val="14414540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4143872"/>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x:chartSpace xmlns:a="http://schemas.openxmlformats.org/drawingml/2006/main" xmlns:r="http://schemas.openxmlformats.org/officeDocument/2006/relationships" xmlns:cx="http://schemas.microsoft.com/office/drawing/2014/chartex">
  <cx:chartData>
    <cx:data id="0">
      <cx:numDim type="val">
        <cx:f>_xlchart.1</cx:f>
      </cx:numDim>
    </cx:data>
  </cx:chartData>
  <cx:chart>
    <cx:title pos="t" align="ctr" overlay="0"/>
    <cx:plotArea>
      <cx:plotAreaRegion>
        <cx:series layoutId="clusteredColumn" uniqueId="{AE653352-5F93-487F-B3AD-82AEDAF52195}">
          <cx:tx>
            <cx:txData>
              <cx:f>_xlchart.0</cx:f>
              <cx:v>Gmarks</cx:v>
            </cx:txData>
          </cx:tx>
          <cx:dataId val="0"/>
          <cx:layoutPr>
            <cx:binning intervalClosed="r">
              <cx:binSize val="20"/>
            </cx:binning>
          </cx:layoutPr>
        </cx:series>
      </cx:plotAreaRegion>
      <cx:axis id="0">
        <cx:catScaling gapWidth="0"/>
        <cx:tickLabels/>
      </cx:axis>
      <cx:axis id="1">
        <cx:valScaling/>
        <cx:majorGridlines/>
        <cx:tickLabels/>
      </cx:axis>
    </cx:plotArea>
  </cx:chart>
</cx: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[data1.xlsx]Sheet22!PivotTable7</c:name>
    <c:fmtId val="0"/>
  </c:pivotSource>
  <c:chart>
    <c:autoTitleDeleted val="0"/>
    <c:pivotFmts>
      <c:pivotFmt>
        <c:idx val="0"/>
        <c:marker>
          <c:symbol val="none"/>
        </c:marker>
      </c:pivotFmt>
      <c:pivotFmt>
        <c:idx val="1"/>
        <c:marker>
          <c:symbol val="none"/>
        </c:marker>
      </c:pivotFmt>
    </c:pivotFmts>
    <c:plotArea>
      <c:layout/>
      <c:barChart>
        <c:barDir val="col"/>
        <c:grouping val="clustered"/>
        <c:varyColors val="0"/>
        <c:ser>
          <c:idx val="0"/>
          <c:order val="0"/>
          <c:tx>
            <c:strRef>
              <c:f>Sheet22!$B$3</c:f>
              <c:strCache>
                <c:ptCount val="1"/>
                <c:pt idx="0">
                  <c:v>Sum of Profit</c:v>
                </c:pt>
              </c:strCache>
            </c:strRef>
          </c:tx>
          <c:invertIfNegative val="0"/>
          <c:cat>
            <c:strRef>
              <c:f>Sheet22!$A$4:$A$14</c:f>
              <c:strCache>
                <c:ptCount val="10"/>
                <c:pt idx="0">
                  <c:v>amareno</c:v>
                </c:pt>
                <c:pt idx="1">
                  <c:v>beans</c:v>
                </c:pt>
                <c:pt idx="2">
                  <c:v>bread</c:v>
                </c:pt>
                <c:pt idx="3">
                  <c:v>coke</c:v>
                </c:pt>
                <c:pt idx="4">
                  <c:v>colombian</c:v>
                </c:pt>
                <c:pt idx="5">
                  <c:v>cream</c:v>
                </c:pt>
                <c:pt idx="6">
                  <c:v>expresso</c:v>
                </c:pt>
                <c:pt idx="7">
                  <c:v>fanta</c:v>
                </c:pt>
                <c:pt idx="8">
                  <c:v>rice</c:v>
                </c:pt>
                <c:pt idx="9">
                  <c:v>yam</c:v>
                </c:pt>
              </c:strCache>
            </c:strRef>
          </c:cat>
          <c:val>
            <c:numRef>
              <c:f>Sheet22!$B$4:$B$14</c:f>
              <c:numCache>
                <c:formatCode>General</c:formatCode>
                <c:ptCount val="10"/>
                <c:pt idx="0">
                  <c:v>164</c:v>
                </c:pt>
                <c:pt idx="1">
                  <c:v>45</c:v>
                </c:pt>
                <c:pt idx="2">
                  <c:v>67</c:v>
                </c:pt>
                <c:pt idx="3">
                  <c:v>12</c:v>
                </c:pt>
                <c:pt idx="4">
                  <c:v>215</c:v>
                </c:pt>
                <c:pt idx="5">
                  <c:v>87</c:v>
                </c:pt>
                <c:pt idx="6">
                  <c:v>268</c:v>
                </c:pt>
                <c:pt idx="7">
                  <c:v>78</c:v>
                </c:pt>
                <c:pt idx="8">
                  <c:v>69</c:v>
                </c:pt>
                <c:pt idx="9">
                  <c:v>89</c:v>
                </c:pt>
              </c:numCache>
            </c:numRef>
          </c:val>
          <c:extLst>
            <c:ext xmlns:c16="http://schemas.microsoft.com/office/drawing/2014/chart" uri="{C3380CC4-5D6E-409C-BE32-E72D297353CC}">
              <c16:uniqueId val="{00000000-E238-451E-91AC-FC14729767EB}"/>
            </c:ext>
          </c:extLst>
        </c:ser>
        <c:ser>
          <c:idx val="1"/>
          <c:order val="1"/>
          <c:tx>
            <c:strRef>
              <c:f>Sheet22!$C$3</c:f>
              <c:strCache>
                <c:ptCount val="1"/>
                <c:pt idx="0">
                  <c:v>Sum of Target Profit</c:v>
                </c:pt>
              </c:strCache>
            </c:strRef>
          </c:tx>
          <c:invertIfNegative val="0"/>
          <c:cat>
            <c:strRef>
              <c:f>Sheet22!$A$4:$A$14</c:f>
              <c:strCache>
                <c:ptCount val="10"/>
                <c:pt idx="0">
                  <c:v>amareno</c:v>
                </c:pt>
                <c:pt idx="1">
                  <c:v>beans</c:v>
                </c:pt>
                <c:pt idx="2">
                  <c:v>bread</c:v>
                </c:pt>
                <c:pt idx="3">
                  <c:v>coke</c:v>
                </c:pt>
                <c:pt idx="4">
                  <c:v>colombian</c:v>
                </c:pt>
                <c:pt idx="5">
                  <c:v>cream</c:v>
                </c:pt>
                <c:pt idx="6">
                  <c:v>expresso</c:v>
                </c:pt>
                <c:pt idx="7">
                  <c:v>fanta</c:v>
                </c:pt>
                <c:pt idx="8">
                  <c:v>rice</c:v>
                </c:pt>
                <c:pt idx="9">
                  <c:v>yam</c:v>
                </c:pt>
              </c:strCache>
            </c:strRef>
          </c:cat>
          <c:val>
            <c:numRef>
              <c:f>Sheet22!$C$4:$C$14</c:f>
              <c:numCache>
                <c:formatCode>General</c:formatCode>
                <c:ptCount val="10"/>
                <c:pt idx="0">
                  <c:v>370</c:v>
                </c:pt>
                <c:pt idx="1">
                  <c:v>34</c:v>
                </c:pt>
                <c:pt idx="2">
                  <c:v>67</c:v>
                </c:pt>
                <c:pt idx="3">
                  <c:v>6</c:v>
                </c:pt>
                <c:pt idx="4">
                  <c:v>398</c:v>
                </c:pt>
                <c:pt idx="5">
                  <c:v>120</c:v>
                </c:pt>
                <c:pt idx="6">
                  <c:v>330</c:v>
                </c:pt>
                <c:pt idx="7">
                  <c:v>5</c:v>
                </c:pt>
                <c:pt idx="8">
                  <c:v>12</c:v>
                </c:pt>
                <c:pt idx="9">
                  <c:v>16</c:v>
                </c:pt>
              </c:numCache>
            </c:numRef>
          </c:val>
          <c:extLst>
            <c:ext xmlns:c16="http://schemas.microsoft.com/office/drawing/2014/chart" uri="{C3380CC4-5D6E-409C-BE32-E72D297353CC}">
              <c16:uniqueId val="{00000001-E238-451E-91AC-FC14729767EB}"/>
            </c:ext>
          </c:extLst>
        </c:ser>
        <c:dLbls>
          <c:showLegendKey val="0"/>
          <c:showVal val="0"/>
          <c:showCatName val="0"/>
          <c:showSerName val="0"/>
          <c:showPercent val="0"/>
          <c:showBubbleSize val="0"/>
        </c:dLbls>
        <c:gapWidth val="150"/>
        <c:axId val="42130048"/>
        <c:axId val="64754048"/>
      </c:barChart>
      <c:catAx>
        <c:axId val="42130048"/>
        <c:scaling>
          <c:orientation val="minMax"/>
        </c:scaling>
        <c:delete val="0"/>
        <c:axPos val="b"/>
        <c:numFmt formatCode="General" sourceLinked="0"/>
        <c:majorTickMark val="out"/>
        <c:minorTickMark val="none"/>
        <c:tickLblPos val="nextTo"/>
        <c:crossAx val="64754048"/>
        <c:crosses val="autoZero"/>
        <c:auto val="1"/>
        <c:lblAlgn val="ctr"/>
        <c:lblOffset val="100"/>
        <c:noMultiLvlLbl val="0"/>
      </c:catAx>
      <c:valAx>
        <c:axId val="64754048"/>
        <c:scaling>
          <c:orientation val="minMax"/>
        </c:scaling>
        <c:delete val="0"/>
        <c:axPos val="l"/>
        <c:majorGridlines/>
        <c:numFmt formatCode="General" sourceLinked="1"/>
        <c:majorTickMark val="out"/>
        <c:minorTickMark val="none"/>
        <c:tickLblPos val="nextTo"/>
        <c:crossAx val="42130048"/>
        <c:crosses val="autoZero"/>
        <c:crossBetween val="between"/>
      </c:valAx>
    </c:plotArea>
    <c:legend>
      <c:legendPos val="r"/>
      <c:overlay val="0"/>
    </c:legend>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7.xml><?xml version="1.0" encoding="utf-8"?>
<cx:chartSpace xmlns:a="http://schemas.openxmlformats.org/drawingml/2006/main" xmlns:r="http://schemas.openxmlformats.org/officeDocument/2006/relationships" xmlns:cx="http://schemas.microsoft.com/office/drawing/2014/chartex">
  <cx:chartData>
    <cx:data id="0">
      <cx:strDim type="cat">
        <cx:f>_xlchart.5</cx:f>
      </cx:strDim>
      <cx:numDim type="size">
        <cx:f>_xlchart.7</cx:f>
      </cx:numDim>
    </cx:data>
  </cx:chartData>
  <cx:chart>
    <cx:title pos="t" align="ctr" overlay="0">
      <cx:tx>
        <cx:rich>
          <a:bodyPr spcFirstLastPara="1" vertOverflow="ellipsis" wrap="square" lIns="0" tIns="0" rIns="0" bIns="0" anchor="ctr" anchorCtr="1"/>
          <a:lstStyle/>
          <a:p>
            <a:pPr algn="ctr">
              <a:defRPr/>
            </a:pPr>
            <a:r>
              <a:rPr lang="en-US"/>
              <a:t>Tree Map</a:t>
            </a:r>
          </a:p>
        </cx:rich>
      </cx:tx>
    </cx:title>
    <cx:plotArea>
      <cx:plotAreaRegion>
        <cx:series layoutId="treemap" uniqueId="{40DF0232-234B-421D-9825-760E35CB6498}">
          <cx:tx>
            <cx:txData>
              <cx:f>_xlchart.6</cx:f>
              <cx:v>Sum of Profit</cx:v>
            </cx:txData>
          </cx:tx>
          <cx:dataLabels pos="inEnd">
            <cx:visibility seriesName="0" categoryName="1" value="1"/>
            <cx:separator>; </cx:separator>
          </cx:dataLabels>
          <cx:dataId val="0"/>
          <cx:layoutPr>
            <cx:parentLabelLayout val="overlapping"/>
          </cx:layoutPr>
        </cx:series>
      </cx:plotAreaRegion>
    </cx:plotArea>
  </cx:chart>
  <cx:clrMapOvr bg1="lt1" tx1="dk1" bg2="lt2" tx2="dk2" accent1="accent1" accent2="accent2" accent3="accent3" accent4="accent4" accent5="accent5" accent6="accent6" hlink="hlink" folHlink="folHlink"/>
</cx:chartSpace>
</file>

<file path=xl/charts/chart8.xml><?xml version="1.0" encoding="utf-8"?>
<cx:chartSpace xmlns:a="http://schemas.openxmlformats.org/drawingml/2006/main" xmlns:r="http://schemas.openxmlformats.org/officeDocument/2006/relationships" xmlns:cx="http://schemas.microsoft.com/office/drawing/2014/chartex">
  <cx:chartData>
    <cx:data id="0">
      <cx:strDim type="cat">
        <cx:f>_xlchart.8</cx:f>
      </cx:strDim>
      <cx:numDim type="val">
        <cx:f>_xlchart.10</cx:f>
      </cx:numDim>
    </cx:data>
  </cx:chartData>
  <cx:chart>
    <cx:title pos="t" align="ctr" overlay="0">
      <cx:tx>
        <cx:rich>
          <a:bodyPr spcFirstLastPara="1" vertOverflow="ellipsis" wrap="square" lIns="0" tIns="0" rIns="0" bIns="0" anchor="ctr" anchorCtr="1"/>
          <a:lstStyle/>
          <a:p>
            <a:pPr algn="ctr">
              <a:defRPr/>
            </a:pPr>
            <a:r>
              <a:rPr lang="en-US"/>
              <a:t>waterfall chat</a:t>
            </a:r>
          </a:p>
        </cx:rich>
      </cx:tx>
    </cx:title>
    <cx:plotArea>
      <cx:plotAreaRegion>
        <cx:series layoutId="waterfall" uniqueId="{D9CA627A-4DD7-4D87-9000-6DC412FF0BAF}">
          <cx:tx>
            <cx:txData>
              <cx:f>_xlchart.9</cx:f>
              <cx:v>Sum of Profit</cx:v>
            </cx:txData>
          </cx:tx>
          <cx:dataLabels pos="outEnd">
            <cx:visibility seriesName="0" categoryName="0" value="1"/>
          </cx:dataLabels>
          <cx:dataId val="0"/>
          <cx:layoutPr>
            <cx:subtotals/>
          </cx:layoutPr>
        </cx:series>
      </cx:plotAreaRegion>
      <cx:axis id="0">
        <cx:catScaling gapWidth="0.5"/>
        <cx:tickLabels/>
      </cx:axis>
      <cx:axis id="1">
        <cx:valScaling/>
        <cx:majorGridlines/>
        <cx:minorGridlines/>
        <cx:tickLabels/>
      </cx:axis>
    </cx:plotArea>
    <cx:legend pos="t" align="ctr" overlay="0"/>
  </cx:chart>
</cx:chartSpace>
</file>

<file path=xl/charts/chart9.xml><?xml version="1.0" encoding="utf-8"?>
<cx:chartSpace xmlns:a="http://schemas.openxmlformats.org/drawingml/2006/main" xmlns:r="http://schemas.openxmlformats.org/officeDocument/2006/relationships" xmlns:cx="http://schemas.microsoft.com/office/drawing/2014/chartex">
  <cx:chartData>
    <cx:data id="0">
      <cx:strDim type="cat">
        <cx:f>_xlchart.2</cx:f>
      </cx:strDim>
      <cx:numDim type="val">
        <cx:f>_xlchart.4</cx:f>
      </cx:numDim>
    </cx:data>
  </cx:chartData>
  <cx:chart>
    <cx:title pos="t" align="ctr" overlay="0"/>
    <cx:plotArea>
      <cx:plotAreaRegion>
        <cx:series layoutId="clusteredColumn" uniqueId="{46263B70-2D8B-4EE8-AFE1-E8AE8DD56000}">
          <cx:tx>
            <cx:txData>
              <cx:f>_xlchart.3</cx:f>
              <cx:v>Sum of Profit</cx:v>
            </cx:txData>
          </cx:tx>
          <cx:dataId val="0"/>
          <cx:layoutPr>
            <cx:aggregation/>
          </cx:layoutPr>
          <cx:axisId val="1"/>
        </cx:series>
        <cx:series layoutId="paretoLine" ownerIdx="0" uniqueId="{F46CEA53-4601-4FA1-8310-FFD1C8C1486C}">
          <cx:axisId val="2"/>
        </cx:series>
      </cx:plotAreaRegion>
      <cx:axis id="0">
        <cx:catScaling gapWidth="0"/>
        <cx:tickLabels/>
      </cx:axis>
      <cx:axis id="1">
        <cx:valScaling/>
        <cx:majorGridlines/>
        <cx:tickLabels/>
      </cx:axis>
      <cx:axis id="2">
        <cx:valScaling max="1" min="0"/>
        <cx:units unit="percentage"/>
        <cx:tickLabels/>
      </cx:axis>
    </cx:plotArea>
  </cx:chart>
  <cx:clrMapOvr bg1="lt1" tx1="dk1" bg2="lt2" tx2="dk2" accent1="accent1" accent2="accent2" accent3="accent3" accent4="accent4" accent5="accent5" accent6="accent6" hlink="hlink" folHlink="folHlink"/>
</cx:chartSpace>
</file>

<file path=xl/charts/chart10.xml><?xml version="1.0" encoding="utf-8"?>
<cx:chartSpace xmlns:a="http://schemas.openxmlformats.org/drawingml/2006/main" xmlns:r="http://schemas.openxmlformats.org/officeDocument/2006/relationships" xmlns:cx="http://schemas.microsoft.com/office/drawing/2014/chartex">
  <cx:chartData>
    <cx:data id="0">
      <cx:strDim type="cat">
        <cx:f>_xlchart.14</cx:f>
      </cx:strDim>
      <cx:numDim type="size">
        <cx:f>_xlchart.16</cx:f>
      </cx:numDim>
    </cx:data>
  </cx:chartData>
  <cx:chart>
    <cx:title pos="t" align="ctr" overlay="0">
      <cx:tx>
        <cx:rich>
          <a:bodyPr spcFirstLastPara="1" vertOverflow="ellipsis" wrap="square" lIns="0" tIns="0" rIns="0" bIns="0" anchor="ctr" anchorCtr="1"/>
          <a:lstStyle/>
          <a:p>
            <a:pPr algn="ctr">
              <a:defRPr/>
            </a:pPr>
            <a:r>
              <a:rPr lang="en-US"/>
              <a:t>Tree Map</a:t>
            </a:r>
          </a:p>
        </cx:rich>
      </cx:tx>
    </cx:title>
    <cx:plotArea>
      <cx:plotAreaRegion>
        <cx:series layoutId="treemap" uniqueId="{40DF0232-234B-421D-9825-760E35CB6498}">
          <cx:tx>
            <cx:txData>
              <cx:f>_xlchart.15</cx:f>
              <cx:v>Sum of Profit</cx:v>
            </cx:txData>
          </cx:tx>
          <cx:dataLabels pos="inEnd">
            <cx:visibility seriesName="0" categoryName="1" value="1"/>
            <cx:separator>; </cx:separator>
          </cx:dataLabels>
          <cx:dataId val="0"/>
          <cx:layoutPr>
            <cx:parentLabelLayout val="overlapping"/>
          </cx:layoutPr>
        </cx:series>
      </cx:plotAreaRegion>
    </cx:plotArea>
  </cx:chart>
  <cx:clrMapOvr bg1="lt1" tx1="dk1" bg2="lt2" tx2="dk2" accent1="accent1" accent2="accent2" accent3="accent3" accent4="accent4" accent5="accent5" accent6="accent6" hlink="hlink" folHlink="folHlink"/>
</cx:chartSpace>
</file>

<file path=xl/charts/chart11.xml><?xml version="1.0" encoding="utf-8"?>
<cx:chartSpace xmlns:a="http://schemas.openxmlformats.org/drawingml/2006/main" xmlns:r="http://schemas.openxmlformats.org/officeDocument/2006/relationships" xmlns:cx="http://schemas.microsoft.com/office/drawing/2014/chartex">
  <cx:chartData>
    <cx:data id="0">
      <cx:strDim type="cat">
        <cx:f>_xlchart.11</cx:f>
      </cx:strDim>
      <cx:numDim type="val">
        <cx:f>_xlchart.13</cx:f>
      </cx:numDim>
    </cx:data>
  </cx:chartData>
  <cx:chart>
    <cx:title pos="t" align="ctr" overlay="0"/>
    <cx:plotArea>
      <cx:plotAreaRegion>
        <cx:series layoutId="clusteredColumn" uniqueId="{46263B70-2D8B-4EE8-AFE1-E8AE8DD56000}">
          <cx:tx>
            <cx:txData>
              <cx:f>_xlchart.12</cx:f>
              <cx:v>Sum of Profit</cx:v>
            </cx:txData>
          </cx:tx>
          <cx:dataId val="0"/>
          <cx:layoutPr>
            <cx:aggregation/>
          </cx:layoutPr>
          <cx:axisId val="1"/>
        </cx:series>
        <cx:series layoutId="paretoLine" ownerIdx="0" uniqueId="{F46CEA53-4601-4FA1-8310-FFD1C8C1486C}">
          <cx:axisId val="2"/>
        </cx:series>
      </cx:plotAreaRegion>
      <cx:axis id="0">
        <cx:catScaling gapWidth="0"/>
        <cx:tickLabels/>
      </cx:axis>
      <cx:axis id="1">
        <cx:valScaling/>
        <cx:majorGridlines/>
        <cx:tickLabels/>
      </cx:axis>
      <cx:axis id="2">
        <cx:valScaling max="1" min="0"/>
        <cx:units unit="percentage"/>
        <cx:tickLabels/>
      </cx:axis>
    </cx:plotArea>
  </cx:chart>
  <cx:clrMapOvr bg1="lt1" tx1="dk1" bg2="lt2" tx2="dk2" accent1="accent1" accent2="accent2" accent3="accent3" accent4="accent4" accent5="accent5" accent6="accent6" hlink="hlink" folHlink="folHlink"/>
</cx:chartSpace>
</file>

<file path=xl/charts/chart12.xml><?xml version="1.0" encoding="utf-8"?>
<cx:chartSpace xmlns:a="http://schemas.openxmlformats.org/drawingml/2006/main" xmlns:r="http://schemas.openxmlformats.org/officeDocument/2006/relationships" xmlns:cx="http://schemas.microsoft.com/office/drawing/2014/chartex">
  <cx:chartData>
    <cx:data id="0">
      <cx:strDim type="cat">
        <cx:f>_xlchart.17</cx:f>
      </cx:strDim>
      <cx:numDim type="val">
        <cx:f>_xlchart.19</cx:f>
      </cx:numDim>
    </cx:data>
  </cx:chartData>
  <cx:chart>
    <cx:title pos="t" align="ctr" overlay="0">
      <cx:tx>
        <cx:rich>
          <a:bodyPr spcFirstLastPara="1" vertOverflow="ellipsis" wrap="square" lIns="0" tIns="0" rIns="0" bIns="0" anchor="ctr" anchorCtr="1"/>
          <a:lstStyle/>
          <a:p>
            <a:pPr algn="ctr">
              <a:defRPr/>
            </a:pPr>
            <a:r>
              <a:rPr lang="en-US"/>
              <a:t>waterfall chat</a:t>
            </a:r>
          </a:p>
        </cx:rich>
      </cx:tx>
    </cx:title>
    <cx:plotArea>
      <cx:plotAreaRegion>
        <cx:series layoutId="waterfall" uniqueId="{D9CA627A-4DD7-4D87-9000-6DC412FF0BAF}">
          <cx:tx>
            <cx:txData>
              <cx:f>_xlchart.18</cx:f>
              <cx:v>Sum of Profit</cx:v>
            </cx:txData>
          </cx:tx>
          <cx:dataLabels pos="outEnd">
            <cx:visibility seriesName="0" categoryName="0" value="1"/>
          </cx:dataLabels>
          <cx:dataId val="0"/>
          <cx:layoutPr>
            <cx:subtotals/>
          </cx:layoutPr>
        </cx:series>
      </cx:plotAreaRegion>
      <cx:axis id="0">
        <cx:catScaling gapWidth="0.5"/>
        <cx:tickLabels/>
      </cx:axis>
      <cx:axis id="1">
        <cx:valScaling/>
        <cx:majorGridlines/>
        <cx:minorGridlines/>
        <cx:tickLabels/>
      </cx:axis>
    </cx:plotArea>
    <cx:legend pos="t" align="ctr" overlay="0"/>
  </cx:chart>
</cx: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[data1.xlsx]teritory!PivotTable1</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s>
    <c:plotArea>
      <c:layout/>
      <c:barChart>
        <c:barDir val="col"/>
        <c:grouping val="clustered"/>
        <c:varyColors val="0"/>
        <c:ser>
          <c:idx val="0"/>
          <c:order val="0"/>
          <c:tx>
            <c:strRef>
              <c:f>teritory!$B$3</c:f>
              <c:strCache>
                <c:ptCount val="1"/>
                <c:pt idx="0">
                  <c:v>Total</c:v>
                </c:pt>
              </c:strCache>
            </c:strRef>
          </c:tx>
          <c:spPr>
            <a:solidFill>
              <a:schemeClr val="accent1"/>
            </a:solidFill>
            <a:ln>
              <a:noFill/>
            </a:ln>
            <a:effectLst/>
          </c:spPr>
          <c:invertIfNegative val="0"/>
          <c:cat>
            <c:strRef>
              <c:f>teritory!$A$4:$A$8</c:f>
              <c:strCache>
                <c:ptCount val="4"/>
                <c:pt idx="0">
                  <c:v>west</c:v>
                </c:pt>
                <c:pt idx="1">
                  <c:v>south</c:v>
                </c:pt>
                <c:pt idx="2">
                  <c:v>east</c:v>
                </c:pt>
                <c:pt idx="3">
                  <c:v>central</c:v>
                </c:pt>
              </c:strCache>
            </c:strRef>
          </c:cat>
          <c:val>
            <c:numRef>
              <c:f>teritory!$B$4:$B$8</c:f>
              <c:numCache>
                <c:formatCode>General</c:formatCode>
                <c:ptCount val="4"/>
                <c:pt idx="0">
                  <c:v>295</c:v>
                </c:pt>
                <c:pt idx="1">
                  <c:v>211</c:v>
                </c:pt>
                <c:pt idx="2">
                  <c:v>162</c:v>
                </c:pt>
                <c:pt idx="3">
                  <c:v>426</c:v>
                </c:pt>
              </c:numCache>
            </c:numRef>
          </c:val>
          <c:extLst>
            <c:ext xmlns:c16="http://schemas.microsoft.com/office/drawing/2014/chart" uri="{C3380CC4-5D6E-409C-BE32-E72D297353CC}">
              <c16:uniqueId val="{00000000-B0A7-4BF5-B716-9EF8402A0A6D}"/>
            </c:ext>
          </c:extLst>
        </c:ser>
        <c:dLbls>
          <c:showLegendKey val="0"/>
          <c:showVal val="0"/>
          <c:showCatName val="0"/>
          <c:showSerName val="0"/>
          <c:showPercent val="0"/>
          <c:showBubbleSize val="0"/>
        </c:dLbls>
        <c:gapWidth val="219"/>
        <c:overlap val="-27"/>
        <c:axId val="343176240"/>
        <c:axId val="343181160"/>
      </c:barChart>
      <c:catAx>
        <c:axId val="34317624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43181160"/>
        <c:crosses val="autoZero"/>
        <c:auto val="1"/>
        <c:lblAlgn val="ctr"/>
        <c:lblOffset val="100"/>
        <c:noMultiLvlLbl val="0"/>
      </c:catAx>
      <c:valAx>
        <c:axId val="34318116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4317624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[data1.xlsx]product!PivotTable2</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pivotFmt>
      <c:pivotFmt>
        <c:idx val="1"/>
        <c:spPr>
          <a:solidFill>
            <a:schemeClr val="accent1"/>
          </a:solidFill>
          <a:ln w="19050">
            <a:solidFill>
              <a:schemeClr val="lt1"/>
            </a:solidFill>
          </a:ln>
          <a:effectLst/>
        </c:spPr>
        <c:marker>
          <c:symbol val="none"/>
        </c:marke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pivotFmt>
    </c:pivotFmts>
    <c:plotArea>
      <c:layout/>
      <c:pieChart>
        <c:varyColors val="1"/>
        <c:ser>
          <c:idx val="0"/>
          <c:order val="0"/>
          <c:tx>
            <c:strRef>
              <c:f>product!$B$3</c:f>
              <c:strCache>
                <c:ptCount val="1"/>
                <c:pt idx="0">
                  <c:v>Total</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dPt>
            <c:idx val="3"/>
            <c:bubble3D val="0"/>
            <c:spPr>
              <a:solidFill>
                <a:schemeClr val="accent4"/>
              </a:solidFill>
              <a:ln w="19050">
                <a:solidFill>
                  <a:schemeClr val="lt1"/>
                </a:solidFill>
              </a:ln>
              <a:effectLst/>
            </c:spPr>
          </c:dPt>
          <c:dPt>
            <c:idx val="4"/>
            <c:bubble3D val="0"/>
            <c:spPr>
              <a:solidFill>
                <a:schemeClr val="accent5"/>
              </a:solidFill>
              <a:ln w="19050">
                <a:solidFill>
                  <a:schemeClr val="lt1"/>
                </a:solidFill>
              </a:ln>
              <a:effectLst/>
            </c:spPr>
          </c:dPt>
          <c:dPt>
            <c:idx val="5"/>
            <c:bubble3D val="0"/>
            <c:spPr>
              <a:solidFill>
                <a:schemeClr val="accent6"/>
              </a:solidFill>
              <a:ln w="19050">
                <a:solidFill>
                  <a:schemeClr val="lt1"/>
                </a:solidFill>
              </a:ln>
              <a:effectLst/>
            </c:spPr>
          </c:dPt>
          <c:dPt>
            <c:idx val="6"/>
            <c:bubble3D val="0"/>
            <c:spPr>
              <a:solidFill>
                <a:schemeClr val="accent1">
                  <a:lumMod val="60000"/>
                </a:schemeClr>
              </a:solidFill>
              <a:ln w="19050">
                <a:solidFill>
                  <a:schemeClr val="lt1"/>
                </a:solidFill>
              </a:ln>
              <a:effectLst/>
            </c:spPr>
          </c:dPt>
          <c:dPt>
            <c:idx val="7"/>
            <c:bubble3D val="0"/>
            <c:spPr>
              <a:solidFill>
                <a:schemeClr val="accent2">
                  <a:lumMod val="60000"/>
                </a:schemeClr>
              </a:solidFill>
              <a:ln w="19050">
                <a:solidFill>
                  <a:schemeClr val="lt1"/>
                </a:solidFill>
              </a:ln>
              <a:effectLst/>
            </c:spPr>
          </c:dPt>
          <c:dPt>
            <c:idx val="8"/>
            <c:bubble3D val="0"/>
            <c:spPr>
              <a:solidFill>
                <a:schemeClr val="accent3">
                  <a:lumMod val="60000"/>
                </a:schemeClr>
              </a:solidFill>
              <a:ln w="19050">
                <a:solidFill>
                  <a:schemeClr val="lt1"/>
                </a:solidFill>
              </a:ln>
              <a:effectLst/>
            </c:spPr>
          </c:dPt>
          <c:dPt>
            <c:idx val="9"/>
            <c:bubble3D val="0"/>
            <c:spPr>
              <a:solidFill>
                <a:schemeClr val="accent4">
                  <a:lumMod val="60000"/>
                </a:schemeClr>
              </a:solidFill>
              <a:ln w="19050">
                <a:solidFill>
                  <a:schemeClr val="lt1"/>
                </a:solidFill>
              </a:ln>
              <a:effectLst/>
            </c:spPr>
          </c:dPt>
          <c:cat>
            <c:strRef>
              <c:f>product!$A$4:$A$13</c:f>
              <c:strCache>
                <c:ptCount val="10"/>
                <c:pt idx="0">
                  <c:v>expresso</c:v>
                </c:pt>
                <c:pt idx="1">
                  <c:v>colombian</c:v>
                </c:pt>
                <c:pt idx="2">
                  <c:v>amareno</c:v>
                </c:pt>
                <c:pt idx="3">
                  <c:v>yam</c:v>
                </c:pt>
                <c:pt idx="4">
                  <c:v>cream</c:v>
                </c:pt>
                <c:pt idx="5">
                  <c:v>fanta</c:v>
                </c:pt>
                <c:pt idx="6">
                  <c:v>rice</c:v>
                </c:pt>
                <c:pt idx="7">
                  <c:v>bread</c:v>
                </c:pt>
                <c:pt idx="8">
                  <c:v>beans</c:v>
                </c:pt>
                <c:pt idx="9">
                  <c:v>coke</c:v>
                </c:pt>
              </c:strCache>
            </c:strRef>
          </c:cat>
          <c:val>
            <c:numRef>
              <c:f>product!$B$4:$B$13</c:f>
              <c:numCache>
                <c:formatCode>General</c:formatCode>
                <c:ptCount val="10"/>
                <c:pt idx="0">
                  <c:v>268</c:v>
                </c:pt>
                <c:pt idx="1">
                  <c:v>215</c:v>
                </c:pt>
                <c:pt idx="2">
                  <c:v>164</c:v>
                </c:pt>
                <c:pt idx="3">
                  <c:v>89</c:v>
                </c:pt>
                <c:pt idx="4">
                  <c:v>87</c:v>
                </c:pt>
                <c:pt idx="5">
                  <c:v>78</c:v>
                </c:pt>
                <c:pt idx="6">
                  <c:v>69</c:v>
                </c:pt>
                <c:pt idx="7">
                  <c:v>67</c:v>
                </c:pt>
                <c:pt idx="8">
                  <c:v>45</c:v>
                </c:pt>
                <c:pt idx="9">
                  <c:v>12</c:v>
                </c:pt>
              </c:numCache>
            </c:numRef>
          </c:val>
          <c:extLst>
            <c:ext xmlns:c16="http://schemas.microsoft.com/office/drawing/2014/chart" uri="{C3380CC4-5D6E-409C-BE32-E72D297353CC}">
              <c16:uniqueId val="{00000015-0E09-49ED-9835-AB3AC00A82ED}"/>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[data1.xlsx]state!PivotTable3</c:name>
    <c:fmtId val="3"/>
  </c:pivotSource>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a:t>Profit  by state</a:t>
            </a:r>
          </a:p>
        </c:rich>
      </c:tx>
      <c:layout/>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ivotFmts>
      <c:pivotFmt>
        <c:idx val="0"/>
      </c:pivotFmt>
      <c:pivotFmt>
        <c:idx val="1"/>
      </c:pivotFmt>
      <c:pivotFmt>
        <c:idx val="2"/>
      </c:pivotFmt>
      <c:pivotFmt>
        <c:idx val="3"/>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c:spPr>
        <c:marker>
          <c:symbol val="none"/>
        </c:marker>
      </c:pivotFmt>
    </c:pivotFmts>
    <c:plotArea>
      <c:layout/>
      <c:barChart>
        <c:barDir val="col"/>
        <c:grouping val="clustered"/>
        <c:varyColors val="0"/>
        <c:ser>
          <c:idx val="0"/>
          <c:order val="0"/>
          <c:tx>
            <c:strRef>
              <c:f>state!$B$3</c:f>
              <c:strCache>
                <c:ptCount val="1"/>
                <c:pt idx="0">
                  <c:v>Total</c:v>
                </c:pt>
              </c:strCache>
            </c:strRef>
          </c:tx>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c:spPr>
          <c:invertIfNegative val="0"/>
          <c:cat>
            <c:strRef>
              <c:f>state!$A$4:$A$9</c:f>
              <c:strCache>
                <c:ptCount val="6"/>
                <c:pt idx="0">
                  <c:v>california</c:v>
                </c:pt>
                <c:pt idx="1">
                  <c:v>texas</c:v>
                </c:pt>
                <c:pt idx="2">
                  <c:v>ilinois</c:v>
                </c:pt>
                <c:pt idx="3">
                  <c:v>colorado</c:v>
                </c:pt>
                <c:pt idx="4">
                  <c:v>florida</c:v>
                </c:pt>
                <c:pt idx="5">
                  <c:v>ohio</c:v>
                </c:pt>
              </c:strCache>
            </c:strRef>
          </c:cat>
          <c:val>
            <c:numRef>
              <c:f>state!$B$4:$B$9</c:f>
              <c:numCache>
                <c:formatCode>General</c:formatCode>
                <c:ptCount val="6"/>
                <c:pt idx="0">
                  <c:v>6</c:v>
                </c:pt>
                <c:pt idx="1">
                  <c:v>5</c:v>
                </c:pt>
                <c:pt idx="2">
                  <c:v>4</c:v>
                </c:pt>
                <c:pt idx="3">
                  <c:v>3</c:v>
                </c:pt>
                <c:pt idx="4">
                  <c:v>2</c:v>
                </c:pt>
                <c:pt idx="5">
                  <c:v>1</c:v>
                </c:pt>
              </c:numCache>
            </c:numRef>
          </c:val>
          <c:extLst>
            <c:ext xmlns:c16="http://schemas.microsoft.com/office/drawing/2014/chart" uri="{C3380CC4-5D6E-409C-BE32-E72D297353CC}">
              <c16:uniqueId val="{00000001-1B33-4A4B-862A-2C3B7DD1F1A2}"/>
            </c:ext>
          </c:extLst>
        </c:ser>
        <c:dLbls>
          <c:showLegendKey val="0"/>
          <c:showVal val="0"/>
          <c:showCatName val="0"/>
          <c:showSerName val="0"/>
          <c:showPercent val="0"/>
          <c:showBubbleSize val="0"/>
        </c:dLbls>
        <c:gapWidth val="100"/>
        <c:overlap val="-24"/>
        <c:axId val="342710904"/>
        <c:axId val="342715496"/>
      </c:barChart>
      <c:catAx>
        <c:axId val="342710904"/>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342715496"/>
        <c:crosses val="autoZero"/>
        <c:auto val="1"/>
        <c:lblAlgn val="ctr"/>
        <c:lblOffset val="100"/>
        <c:noMultiLvlLbl val="0"/>
      </c:catAx>
      <c:valAx>
        <c:axId val="342715496"/>
        <c:scaling>
          <c:orientation val="minMax"/>
        </c:scaling>
        <c:delete val="0"/>
        <c:axPos val="l"/>
        <c:majorGridlines>
          <c:spPr>
            <a:ln w="9525" cap="flat" cmpd="sng" algn="ctr">
              <a:solidFill>
                <a:schemeClr val="tx2">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34271090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[data1.xlsx]product!PivotTable2</c:name>
    <c:fmtId val="2"/>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Profit by Product</a:t>
            </a:r>
          </a:p>
        </c:rich>
      </c:tx>
      <c:layout/>
      <c:overlay val="0"/>
      <c:spPr>
        <a:solidFill>
          <a:schemeClr val="tx2"/>
        </a:solid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pivotFmt>
      <c:pivotFmt>
        <c:idx val="1"/>
      </c:pivotFmt>
      <c:pivotFmt>
        <c:idx val="2"/>
      </c:pivotFmt>
      <c:pivotFmt>
        <c:idx val="3"/>
      </c:pivotFmt>
      <c:pivotFmt>
        <c:idx val="4"/>
      </c:pivotFmt>
      <c:pivotFmt>
        <c:idx val="5"/>
      </c:pivotFmt>
      <c:pivotFmt>
        <c:idx val="6"/>
      </c:pivotFmt>
      <c:pivotFmt>
        <c:idx val="7"/>
      </c:pivotFmt>
      <c:pivotFmt>
        <c:idx val="8"/>
      </c:pivotFmt>
      <c:pivotFmt>
        <c:idx val="9"/>
      </c:pivotFmt>
      <c:pivotFmt>
        <c:idx val="10"/>
      </c:pivotFmt>
      <c:pivotFmt>
        <c:idx val="11"/>
      </c:pivotFmt>
      <c:pivotFmt>
        <c:idx val="12"/>
      </c:pivotFmt>
      <c:pivotFmt>
        <c:idx val="13"/>
      </c:pivotFmt>
      <c:pivotFmt>
        <c:idx val="14"/>
      </c:pivotFmt>
      <c:pivotFmt>
        <c:idx val="15"/>
      </c:pivotFmt>
      <c:pivotFmt>
        <c:idx val="16"/>
      </c:pivotFmt>
      <c:pivotFmt>
        <c:idx val="17"/>
      </c:pivotFmt>
      <c:pivotFmt>
        <c:idx val="18"/>
      </c:pivotFmt>
      <c:pivotFmt>
        <c:idx val="19"/>
      </c:pivotFmt>
      <c:pivotFmt>
        <c:idx val="20"/>
      </c:pivotFmt>
      <c:pivotFmt>
        <c:idx val="21"/>
      </c:pivotFmt>
      <c:pivotFmt>
        <c:idx val="22"/>
      </c:pivotFmt>
      <c:pivotFmt>
        <c:idx val="23"/>
      </c:pivotFmt>
      <c:pivotFmt>
        <c:idx val="24"/>
      </c:pivotFmt>
      <c:pivotFmt>
        <c:idx val="25"/>
      </c:pivotFmt>
      <c:pivotFmt>
        <c:idx val="26"/>
        <c:dLbl>
          <c:idx val="0"/>
          <c:showLegendKey val="0"/>
          <c:showVal val="0"/>
          <c:showCatName val="0"/>
          <c:showSerName val="0"/>
          <c:showPercent val="0"/>
          <c:showBubbleSize val="0"/>
          <c:extLst>
            <c:ext xmlns:c15="http://schemas.microsoft.com/office/drawing/2012/chart" uri="{CE6537A1-D6FC-4f65-9D91-7224C49458BB}"/>
          </c:extLst>
        </c:dLbl>
      </c:pivotFmt>
      <c:pivotFmt>
        <c:idx val="27"/>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pivotFmt>
    </c:pivotFmts>
    <c:plotArea>
      <c:layout/>
      <c:barChart>
        <c:barDir val="col"/>
        <c:grouping val="clustered"/>
        <c:varyColors val="0"/>
        <c:ser>
          <c:idx val="0"/>
          <c:order val="0"/>
          <c:tx>
            <c:strRef>
              <c:f>product!$B$3</c:f>
              <c:strCache>
                <c:ptCount val="1"/>
                <c:pt idx="0">
                  <c:v>Total</c:v>
                </c:pt>
              </c:strCache>
            </c:strRef>
          </c:tx>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cat>
            <c:strRef>
              <c:f>product!$A$4:$A$13</c:f>
              <c:strCache>
                <c:ptCount val="10"/>
                <c:pt idx="0">
                  <c:v>expresso</c:v>
                </c:pt>
                <c:pt idx="1">
                  <c:v>colombian</c:v>
                </c:pt>
                <c:pt idx="2">
                  <c:v>amareno</c:v>
                </c:pt>
                <c:pt idx="3">
                  <c:v>yam</c:v>
                </c:pt>
                <c:pt idx="4">
                  <c:v>cream</c:v>
                </c:pt>
                <c:pt idx="5">
                  <c:v>fanta</c:v>
                </c:pt>
                <c:pt idx="6">
                  <c:v>rice</c:v>
                </c:pt>
                <c:pt idx="7">
                  <c:v>bread</c:v>
                </c:pt>
                <c:pt idx="8">
                  <c:v>beans</c:v>
                </c:pt>
                <c:pt idx="9">
                  <c:v>coke</c:v>
                </c:pt>
              </c:strCache>
            </c:strRef>
          </c:cat>
          <c:val>
            <c:numRef>
              <c:f>product!$B$4:$B$13</c:f>
              <c:numCache>
                <c:formatCode>General</c:formatCode>
                <c:ptCount val="10"/>
                <c:pt idx="0">
                  <c:v>268</c:v>
                </c:pt>
                <c:pt idx="1">
                  <c:v>215</c:v>
                </c:pt>
                <c:pt idx="2">
                  <c:v>164</c:v>
                </c:pt>
                <c:pt idx="3">
                  <c:v>89</c:v>
                </c:pt>
                <c:pt idx="4">
                  <c:v>87</c:v>
                </c:pt>
                <c:pt idx="5">
                  <c:v>78</c:v>
                </c:pt>
                <c:pt idx="6">
                  <c:v>69</c:v>
                </c:pt>
                <c:pt idx="7">
                  <c:v>67</c:v>
                </c:pt>
                <c:pt idx="8">
                  <c:v>45</c:v>
                </c:pt>
                <c:pt idx="9">
                  <c:v>12</c:v>
                </c:pt>
              </c:numCache>
            </c:numRef>
          </c:val>
          <c:extLst>
            <c:ext xmlns:c16="http://schemas.microsoft.com/office/drawing/2014/chart" uri="{C3380CC4-5D6E-409C-BE32-E72D297353CC}">
              <c16:uniqueId val="{00000001-0F0A-417C-BEB5-9E74B9438B02}"/>
            </c:ext>
          </c:extLst>
        </c:ser>
        <c:dLbls>
          <c:showLegendKey val="0"/>
          <c:showVal val="0"/>
          <c:showCatName val="0"/>
          <c:showSerName val="0"/>
          <c:showPercent val="0"/>
          <c:showBubbleSize val="0"/>
        </c:dLbls>
        <c:gapWidth val="100"/>
        <c:overlap val="-24"/>
        <c:axId val="413594664"/>
        <c:axId val="413600240"/>
      </c:barChart>
      <c:catAx>
        <c:axId val="413594664"/>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413600240"/>
        <c:crosses val="autoZero"/>
        <c:auto val="1"/>
        <c:lblAlgn val="ctr"/>
        <c:lblOffset val="100"/>
        <c:noMultiLvlLbl val="0"/>
      </c:catAx>
      <c:valAx>
        <c:axId val="413600240"/>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413594664"/>
        <c:crosses val="autoZero"/>
        <c:crossBetween val="between"/>
      </c:valAx>
      <c:spPr>
        <a:noFill/>
        <a:ln>
          <a:noFill/>
        </a:ln>
        <a:effectLst/>
      </c:spPr>
    </c:plotArea>
    <c:plotVisOnly val="1"/>
    <c:dispBlanksAs val="gap"/>
    <c:showDLblsOverMax val="0"/>
  </c:chart>
  <c:spPr>
    <a:solidFill>
      <a:schemeClr val="accent1">
        <a:lumMod val="60000"/>
        <a:lumOff val="40000"/>
      </a:schemeClr>
    </a:soli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[data1.xlsx]teritory!PivotTable1</c:name>
    <c:fmtId val="2"/>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sz="1600"/>
              <a:t>Profit by Territory</a:t>
            </a:r>
          </a:p>
        </c:rich>
      </c:tx>
      <c:layout/>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pivotFmt>
      <c:pivotFmt>
        <c:idx val="1"/>
      </c:pivotFmt>
      <c:pivotFmt>
        <c:idx val="2"/>
      </c:pivotFmt>
      <c:pivotFmt>
        <c:idx val="3"/>
      </c:pivotFmt>
      <c:pivotFmt>
        <c:idx val="4"/>
      </c:pivotFmt>
      <c:pivotFmt>
        <c:idx val="5"/>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6"/>
        <c:spPr>
          <a:solidFill>
            <a:schemeClr val="accent1"/>
          </a:solidFill>
          <a:ln>
            <a:noFill/>
          </a:ln>
          <a:effectLst>
            <a:outerShdw blurRad="254000" sx="102000" sy="102000" algn="ctr" rotWithShape="0">
              <a:prstClr val="black">
                <a:alpha val="20000"/>
              </a:prstClr>
            </a:outerShdw>
          </a:effectLst>
        </c:spPr>
      </c:pivotFmt>
      <c:pivotFmt>
        <c:idx val="7"/>
        <c:spPr>
          <a:solidFill>
            <a:schemeClr val="accent1"/>
          </a:solidFill>
          <a:ln>
            <a:noFill/>
          </a:ln>
          <a:effectLst>
            <a:outerShdw blurRad="254000" sx="102000" sy="102000" algn="ctr" rotWithShape="0">
              <a:prstClr val="black">
                <a:alpha val="20000"/>
              </a:prstClr>
            </a:outerShdw>
          </a:effectLst>
        </c:spPr>
      </c:pivotFmt>
      <c:pivotFmt>
        <c:idx val="8"/>
        <c:spPr>
          <a:solidFill>
            <a:schemeClr val="accent1"/>
          </a:solidFill>
          <a:ln>
            <a:noFill/>
          </a:ln>
          <a:effectLst>
            <a:outerShdw blurRad="254000" sx="102000" sy="102000" algn="ctr" rotWithShape="0">
              <a:prstClr val="black">
                <a:alpha val="20000"/>
              </a:prstClr>
            </a:outerShdw>
          </a:effectLst>
        </c:spPr>
      </c:pivotFmt>
      <c:pivotFmt>
        <c:idx val="9"/>
        <c:spPr>
          <a:solidFill>
            <a:schemeClr val="accent1"/>
          </a:solidFill>
          <a:ln>
            <a:noFill/>
          </a:ln>
          <a:effectLst>
            <a:outerShdw blurRad="254000" sx="102000" sy="102000" algn="ctr" rotWithShape="0">
              <a:prstClr val="black">
                <a:alpha val="20000"/>
              </a:prstClr>
            </a:outerShdw>
          </a:effectLst>
        </c:spPr>
      </c:pivotFmt>
      <c:pivotFmt>
        <c:idx val="10"/>
        <c:spPr>
          <a:solidFill>
            <a:schemeClr val="accent1"/>
          </a:solidFill>
          <a:ln>
            <a:noFill/>
          </a:ln>
          <a:effectLst>
            <a:outerShdw blurRad="254000" sx="102000" sy="102000" algn="ctr" rotWithShape="0">
              <a:prstClr val="black">
                <a:alpha val="20000"/>
              </a:prstClr>
            </a:outerShdw>
          </a:effectLst>
        </c:spPr>
        <c:marker>
          <c:symbol val="none"/>
        </c:marker>
        <c:dLbl>
          <c:idx val="0"/>
          <c:layout/>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1"/>
          <c:showBubbleSize val="0"/>
          <c:extLst>
            <c:ext xmlns:c15="http://schemas.microsoft.com/office/drawing/2012/chart" uri="{CE6537A1-D6FC-4f65-9D91-7224C49458BB}">
              <c15:layout/>
            </c:ext>
          </c:extLst>
        </c:dLbl>
      </c:pivotFmt>
      <c:pivotFmt>
        <c:idx val="11"/>
        <c:spPr>
          <a:solidFill>
            <a:schemeClr val="accent1"/>
          </a:solidFill>
          <a:ln>
            <a:noFill/>
          </a:ln>
          <a:effectLst>
            <a:outerShdw blurRad="254000" sx="102000" sy="102000" algn="ctr" rotWithShape="0">
              <a:prstClr val="black">
                <a:alpha val="20000"/>
              </a:prstClr>
            </a:outerShdw>
          </a:effectLst>
        </c:spPr>
      </c:pivotFmt>
      <c:pivotFmt>
        <c:idx val="12"/>
        <c:spPr>
          <a:solidFill>
            <a:schemeClr val="accent1"/>
          </a:solidFill>
          <a:ln>
            <a:noFill/>
          </a:ln>
          <a:effectLst>
            <a:outerShdw blurRad="254000" sx="102000" sy="102000" algn="ctr" rotWithShape="0">
              <a:prstClr val="black">
                <a:alpha val="20000"/>
              </a:prstClr>
            </a:outerShdw>
          </a:effectLst>
        </c:spPr>
      </c:pivotFmt>
      <c:pivotFmt>
        <c:idx val="13"/>
        <c:spPr>
          <a:solidFill>
            <a:schemeClr val="accent1"/>
          </a:solidFill>
          <a:ln>
            <a:noFill/>
          </a:ln>
          <a:effectLst>
            <a:outerShdw blurRad="254000" sx="102000" sy="102000" algn="ctr" rotWithShape="0">
              <a:prstClr val="black">
                <a:alpha val="20000"/>
              </a:prstClr>
            </a:outerShdw>
          </a:effectLst>
        </c:spPr>
      </c:pivotFmt>
      <c:pivotFmt>
        <c:idx val="14"/>
        <c:spPr>
          <a:solidFill>
            <a:schemeClr val="accent1"/>
          </a:solidFill>
          <a:ln>
            <a:noFill/>
          </a:ln>
          <a:effectLst>
            <a:outerShdw blurRad="254000" sx="102000" sy="102000" algn="ctr" rotWithShape="0">
              <a:prstClr val="black">
                <a:alpha val="20000"/>
              </a:prstClr>
            </a:outerShdw>
          </a:effectLst>
        </c:spPr>
      </c:pivotFmt>
    </c:pivotFmts>
    <c:plotArea>
      <c:layout/>
      <c:pieChart>
        <c:varyColors val="1"/>
        <c:ser>
          <c:idx val="0"/>
          <c:order val="0"/>
          <c:tx>
            <c:strRef>
              <c:f>teritory!$B$3</c:f>
              <c:strCache>
                <c:ptCount val="1"/>
                <c:pt idx="0">
                  <c:v>Total</c:v>
                </c:pt>
              </c:strCache>
            </c:strRef>
          </c:tx>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A773-404D-9581-10E95E749547}"/>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A773-404D-9581-10E95E749547}"/>
              </c:ext>
            </c:extLst>
          </c:dPt>
          <c:dPt>
            <c:idx val="2"/>
            <c:bubble3D val="0"/>
            <c:spPr>
              <a:solidFill>
                <a:schemeClr val="accent3"/>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5-A773-404D-9581-10E95E749547}"/>
              </c:ext>
            </c:extLst>
          </c:dPt>
          <c:dPt>
            <c:idx val="3"/>
            <c:bubble3D val="0"/>
            <c:spPr>
              <a:solidFill>
                <a:schemeClr val="accent4"/>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7-A773-404D-9581-10E95E749547}"/>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15:layout/>
              </c:ext>
            </c:extLst>
          </c:dLbls>
          <c:cat>
            <c:strRef>
              <c:f>teritory!$A$4:$A$8</c:f>
              <c:strCache>
                <c:ptCount val="4"/>
                <c:pt idx="0">
                  <c:v>west</c:v>
                </c:pt>
                <c:pt idx="1">
                  <c:v>south</c:v>
                </c:pt>
                <c:pt idx="2">
                  <c:v>east</c:v>
                </c:pt>
                <c:pt idx="3">
                  <c:v>central</c:v>
                </c:pt>
              </c:strCache>
            </c:strRef>
          </c:cat>
          <c:val>
            <c:numRef>
              <c:f>teritory!$B$4:$B$8</c:f>
              <c:numCache>
                <c:formatCode>General</c:formatCode>
                <c:ptCount val="4"/>
                <c:pt idx="0">
                  <c:v>295</c:v>
                </c:pt>
                <c:pt idx="1">
                  <c:v>211</c:v>
                </c:pt>
                <c:pt idx="2">
                  <c:v>162</c:v>
                </c:pt>
                <c:pt idx="3">
                  <c:v>426</c:v>
                </c:pt>
              </c:numCache>
            </c:numRef>
          </c:val>
          <c:extLst>
            <c:ext xmlns:c16="http://schemas.microsoft.com/office/drawing/2014/chart" uri="{C3380CC4-5D6E-409C-BE32-E72D297353CC}">
              <c16:uniqueId val="{00000000-2763-40A1-975D-690048B71D53}"/>
            </c:ext>
          </c:extLst>
        </c:ser>
        <c:dLbls>
          <c:dLblPos val="bestFit"/>
          <c:showLegendKey val="0"/>
          <c:showVal val="0"/>
          <c:showCatName val="0"/>
          <c:showSerName val="0"/>
          <c:showPercent val="1"/>
          <c:showBubbleSize val="0"/>
          <c:showLeaderLines val="1"/>
        </c:dLbls>
        <c:firstSliceAng val="0"/>
      </c:pieChart>
      <c:spPr>
        <a:noFill/>
        <a:ln>
          <a:noFill/>
        </a:ln>
        <a:effectLst/>
      </c:spPr>
    </c:plotArea>
    <c:legend>
      <c:legendPos val="r"/>
      <c:layout/>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[data1.xlsx]state!PivotTable3</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Profit</a:t>
            </a:r>
            <a:r>
              <a:rPr lang="en-US" baseline="0"/>
              <a:t>  by state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s>
    <c:plotArea>
      <c:layout/>
      <c:barChart>
        <c:barDir val="col"/>
        <c:grouping val="clustered"/>
        <c:varyColors val="0"/>
        <c:ser>
          <c:idx val="0"/>
          <c:order val="0"/>
          <c:tx>
            <c:strRef>
              <c:f>state!$B$3</c:f>
              <c:strCache>
                <c:ptCount val="1"/>
                <c:pt idx="0">
                  <c:v>Total</c:v>
                </c:pt>
              </c:strCache>
            </c:strRef>
          </c:tx>
          <c:spPr>
            <a:solidFill>
              <a:schemeClr val="accent1"/>
            </a:solidFill>
            <a:ln>
              <a:noFill/>
            </a:ln>
            <a:effectLst/>
          </c:spPr>
          <c:invertIfNegative val="0"/>
          <c:cat>
            <c:strRef>
              <c:f>state!$A$4:$A$9</c:f>
              <c:strCache>
                <c:ptCount val="6"/>
                <c:pt idx="0">
                  <c:v>california</c:v>
                </c:pt>
                <c:pt idx="1">
                  <c:v>texas</c:v>
                </c:pt>
                <c:pt idx="2">
                  <c:v>ilinois</c:v>
                </c:pt>
                <c:pt idx="3">
                  <c:v>colorado</c:v>
                </c:pt>
                <c:pt idx="4">
                  <c:v>florida</c:v>
                </c:pt>
                <c:pt idx="5">
                  <c:v>ohio</c:v>
                </c:pt>
              </c:strCache>
            </c:strRef>
          </c:cat>
          <c:val>
            <c:numRef>
              <c:f>state!$B$4:$B$9</c:f>
              <c:numCache>
                <c:formatCode>General</c:formatCode>
                <c:ptCount val="6"/>
                <c:pt idx="0">
                  <c:v>6</c:v>
                </c:pt>
                <c:pt idx="1">
                  <c:v>5</c:v>
                </c:pt>
                <c:pt idx="2">
                  <c:v>4</c:v>
                </c:pt>
                <c:pt idx="3">
                  <c:v>3</c:v>
                </c:pt>
                <c:pt idx="4">
                  <c:v>2</c:v>
                </c:pt>
                <c:pt idx="5">
                  <c:v>1</c:v>
                </c:pt>
              </c:numCache>
            </c:numRef>
          </c:val>
          <c:extLst>
            <c:ext xmlns:c16="http://schemas.microsoft.com/office/drawing/2014/chart" uri="{C3380CC4-5D6E-409C-BE32-E72D297353CC}">
              <c16:uniqueId val="{00000001-202C-4B9D-B5F5-FDB1B3D6B2AA}"/>
            </c:ext>
          </c:extLst>
        </c:ser>
        <c:dLbls>
          <c:showLegendKey val="0"/>
          <c:showVal val="0"/>
          <c:showCatName val="0"/>
          <c:showSerName val="0"/>
          <c:showPercent val="0"/>
          <c:showBubbleSize val="0"/>
        </c:dLbls>
        <c:gapWidth val="219"/>
        <c:overlap val="-27"/>
        <c:axId val="342710904"/>
        <c:axId val="342715496"/>
      </c:barChart>
      <c:catAx>
        <c:axId val="3427109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42715496"/>
        <c:crosses val="autoZero"/>
        <c:auto val="1"/>
        <c:lblAlgn val="ctr"/>
        <c:lblOffset val="100"/>
        <c:noMultiLvlLbl val="0"/>
      </c:catAx>
      <c:valAx>
        <c:axId val="3427154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427109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tx>
            <c:strRef>
              <c:f>Sheet28!$B$1</c:f>
              <c:strCache>
                <c:ptCount val="1"/>
                <c:pt idx="0">
                  <c:v> Sales </c:v>
                </c:pt>
              </c:strCache>
            </c:strRef>
          </c:tx>
          <c:spPr>
            <a:ln w="28575" cap="rnd">
              <a:solidFill>
                <a:schemeClr val="accent1"/>
              </a:solidFill>
              <a:round/>
            </a:ln>
            <a:effectLst/>
          </c:spPr>
          <c:marker>
            <c:symbol val="none"/>
          </c:marker>
          <c:val>
            <c:numRef>
              <c:f>Sheet28!$B$2:$B$21</c:f>
              <c:numCache>
                <c:formatCode>_([$$-409]* #,##0_);_([$$-409]* \(#,##0\);_([$$-409]* "-"??_);_(@_)</c:formatCode>
                <c:ptCount val="20"/>
                <c:pt idx="0">
                  <c:v>75972</c:v>
                </c:pt>
                <c:pt idx="1">
                  <c:v>129610.5</c:v>
                </c:pt>
                <c:pt idx="2">
                  <c:v>183249</c:v>
                </c:pt>
                <c:pt idx="3">
                  <c:v>70992</c:v>
                </c:pt>
                <c:pt idx="4">
                  <c:v>89736</c:v>
                </c:pt>
                <c:pt idx="5">
                  <c:v>190544</c:v>
                </c:pt>
                <c:pt idx="6">
                  <c:v>145539</c:v>
                </c:pt>
                <c:pt idx="7">
                  <c:v>236745</c:v>
                </c:pt>
                <c:pt idx="8">
                  <c:v>125299</c:v>
                </c:pt>
                <c:pt idx="9">
                  <c:v>134999</c:v>
                </c:pt>
                <c:pt idx="10">
                  <c:v>134991</c:v>
                </c:pt>
                <c:pt idx="11">
                  <c:v>198184</c:v>
                </c:pt>
                <c:pt idx="12">
                  <c:v>187104</c:v>
                </c:pt>
                <c:pt idx="13">
                  <c:v>94800</c:v>
                </c:pt>
                <c:pt idx="14">
                  <c:v>145535</c:v>
                </c:pt>
                <c:pt idx="15">
                  <c:v>287104</c:v>
                </c:pt>
              </c:numCache>
            </c:numRef>
          </c:val>
          <c:smooth val="0"/>
          <c:extLst>
            <c:ext xmlns:c16="http://schemas.microsoft.com/office/drawing/2014/chart" uri="{C3380CC4-5D6E-409C-BE32-E72D297353CC}">
              <c16:uniqueId val="{00000000-1DD9-4E17-9660-C2F6C8AF9EBA}"/>
            </c:ext>
          </c:extLst>
        </c:ser>
        <c:ser>
          <c:idx val="1"/>
          <c:order val="1"/>
          <c:tx>
            <c:strRef>
              <c:f>Sheet28!$C$1</c:f>
              <c:strCache>
                <c:ptCount val="1"/>
                <c:pt idx="0">
                  <c:v>Forecast( Sales )</c:v>
                </c:pt>
              </c:strCache>
            </c:strRef>
          </c:tx>
          <c:spPr>
            <a:ln w="25400" cap="rnd">
              <a:solidFill>
                <a:schemeClr val="accent2"/>
              </a:solidFill>
              <a:round/>
            </a:ln>
            <a:effectLst/>
          </c:spPr>
          <c:marker>
            <c:symbol val="none"/>
          </c:marker>
          <c:cat>
            <c:numRef>
              <c:f>Sheet28!$A$2:$A$21</c:f>
              <c:numCache>
                <c:formatCode>m/d/yyyy</c:formatCode>
                <c:ptCount val="20"/>
                <c:pt idx="0">
                  <c:v>44197</c:v>
                </c:pt>
                <c:pt idx="1">
                  <c:v>44228</c:v>
                </c:pt>
                <c:pt idx="2">
                  <c:v>44256</c:v>
                </c:pt>
                <c:pt idx="3">
                  <c:v>44287</c:v>
                </c:pt>
                <c:pt idx="4">
                  <c:v>44317</c:v>
                </c:pt>
                <c:pt idx="5">
                  <c:v>44348</c:v>
                </c:pt>
                <c:pt idx="6">
                  <c:v>44378</c:v>
                </c:pt>
                <c:pt idx="7">
                  <c:v>44409</c:v>
                </c:pt>
                <c:pt idx="8">
                  <c:v>44440</c:v>
                </c:pt>
                <c:pt idx="9">
                  <c:v>44470</c:v>
                </c:pt>
                <c:pt idx="10">
                  <c:v>44501</c:v>
                </c:pt>
                <c:pt idx="11">
                  <c:v>44531</c:v>
                </c:pt>
                <c:pt idx="12">
                  <c:v>44562</c:v>
                </c:pt>
                <c:pt idx="13">
                  <c:v>44593</c:v>
                </c:pt>
                <c:pt idx="14">
                  <c:v>44621</c:v>
                </c:pt>
                <c:pt idx="15">
                  <c:v>44652</c:v>
                </c:pt>
                <c:pt idx="16">
                  <c:v>44682</c:v>
                </c:pt>
                <c:pt idx="17">
                  <c:v>44713</c:v>
                </c:pt>
                <c:pt idx="18">
                  <c:v>44743</c:v>
                </c:pt>
                <c:pt idx="19">
                  <c:v>44774</c:v>
                </c:pt>
              </c:numCache>
            </c:numRef>
          </c:cat>
          <c:val>
            <c:numRef>
              <c:f>Sheet28!$C$2:$C$21</c:f>
              <c:numCache>
                <c:formatCode>General</c:formatCode>
                <c:ptCount val="20"/>
                <c:pt idx="15" formatCode="_([$$-409]* #,##0_);_([$$-409]* \(#,##0\);_([$$-409]* &quot;-&quot;??_);_(@_)">
                  <c:v>287104</c:v>
                </c:pt>
                <c:pt idx="16" formatCode="_([$$-409]* #,##0_);_([$$-409]* \(#,##0\);_([$$-409]* &quot;-&quot;??_);_(@_)">
                  <c:v>197156.14349020401</c:v>
                </c:pt>
                <c:pt idx="17" formatCode="_([$$-409]* #,##0_);_([$$-409]* \(#,##0\);_([$$-409]* &quot;-&quot;??_);_(@_)">
                  <c:v>202955.924960392</c:v>
                </c:pt>
                <c:pt idx="18" formatCode="_([$$-409]* #,##0_);_([$$-409]* \(#,##0\);_([$$-409]* &quot;-&quot;??_);_(@_)">
                  <c:v>208755.70643057991</c:v>
                </c:pt>
                <c:pt idx="19" formatCode="_([$$-409]* #,##0_);_([$$-409]* \(#,##0\);_([$$-409]* &quot;-&quot;??_);_(@_)">
                  <c:v>214555.48790076791</c:v>
                </c:pt>
              </c:numCache>
            </c:numRef>
          </c:val>
          <c:smooth val="0"/>
          <c:extLst>
            <c:ext xmlns:c16="http://schemas.microsoft.com/office/drawing/2014/chart" uri="{C3380CC4-5D6E-409C-BE32-E72D297353CC}">
              <c16:uniqueId val="{00000001-1DD9-4E17-9660-C2F6C8AF9EBA}"/>
            </c:ext>
          </c:extLst>
        </c:ser>
        <c:ser>
          <c:idx val="2"/>
          <c:order val="2"/>
          <c:tx>
            <c:strRef>
              <c:f>Sheet28!$D$1</c:f>
              <c:strCache>
                <c:ptCount val="1"/>
                <c:pt idx="0">
                  <c:v>Lower Confidence Bound( Sales )</c:v>
                </c:pt>
              </c:strCache>
            </c:strRef>
          </c:tx>
          <c:spPr>
            <a:ln w="12700" cap="rnd">
              <a:solidFill>
                <a:srgbClr val="C0504D"/>
              </a:solidFill>
              <a:prstDash val="solid"/>
              <a:round/>
            </a:ln>
            <a:effectLst/>
          </c:spPr>
          <c:marker>
            <c:symbol val="none"/>
          </c:marker>
          <c:cat>
            <c:numRef>
              <c:f>Sheet28!$A$2:$A$21</c:f>
              <c:numCache>
                <c:formatCode>m/d/yyyy</c:formatCode>
                <c:ptCount val="20"/>
                <c:pt idx="0">
                  <c:v>44197</c:v>
                </c:pt>
                <c:pt idx="1">
                  <c:v>44228</c:v>
                </c:pt>
                <c:pt idx="2">
                  <c:v>44256</c:v>
                </c:pt>
                <c:pt idx="3">
                  <c:v>44287</c:v>
                </c:pt>
                <c:pt idx="4">
                  <c:v>44317</c:v>
                </c:pt>
                <c:pt idx="5">
                  <c:v>44348</c:v>
                </c:pt>
                <c:pt idx="6">
                  <c:v>44378</c:v>
                </c:pt>
                <c:pt idx="7">
                  <c:v>44409</c:v>
                </c:pt>
                <c:pt idx="8">
                  <c:v>44440</c:v>
                </c:pt>
                <c:pt idx="9">
                  <c:v>44470</c:v>
                </c:pt>
                <c:pt idx="10">
                  <c:v>44501</c:v>
                </c:pt>
                <c:pt idx="11">
                  <c:v>44531</c:v>
                </c:pt>
                <c:pt idx="12">
                  <c:v>44562</c:v>
                </c:pt>
                <c:pt idx="13">
                  <c:v>44593</c:v>
                </c:pt>
                <c:pt idx="14">
                  <c:v>44621</c:v>
                </c:pt>
                <c:pt idx="15">
                  <c:v>44652</c:v>
                </c:pt>
                <c:pt idx="16">
                  <c:v>44682</c:v>
                </c:pt>
                <c:pt idx="17">
                  <c:v>44713</c:v>
                </c:pt>
                <c:pt idx="18">
                  <c:v>44743</c:v>
                </c:pt>
                <c:pt idx="19">
                  <c:v>44774</c:v>
                </c:pt>
              </c:numCache>
            </c:numRef>
          </c:cat>
          <c:val>
            <c:numRef>
              <c:f>Sheet28!$D$2:$D$21</c:f>
              <c:numCache>
                <c:formatCode>General</c:formatCode>
                <c:ptCount val="20"/>
                <c:pt idx="15" formatCode="_([$$-409]* #,##0_);_([$$-409]* \(#,##0\);_([$$-409]* &quot;-&quot;??_);_(@_)">
                  <c:v>287104</c:v>
                </c:pt>
                <c:pt idx="16" formatCode="_([$$-409]* #,##0_);_([$$-409]* \(#,##0\);_([$$-409]* &quot;-&quot;??_);_(@_)">
                  <c:v>85132.335299289538</c:v>
                </c:pt>
                <c:pt idx="17" formatCode="_([$$-409]* #,##0_);_([$$-409]* \(#,##0\);_([$$-409]* &quot;-&quot;??_);_(@_)">
                  <c:v>90032.314482977134</c:v>
                </c:pt>
                <c:pt idx="18" formatCode="_([$$-409]* #,##0_);_([$$-409]* \(#,##0\);_([$$-409]* &quot;-&quot;??_);_(@_)">
                  <c:v>94925.349824868405</c:v>
                </c:pt>
                <c:pt idx="19" formatCode="_([$$-409]* #,##0_);_([$$-409]* \(#,##0\);_([$$-409]* &quot;-&quot;??_);_(@_)">
                  <c:v>99811.496574652774</c:v>
                </c:pt>
              </c:numCache>
            </c:numRef>
          </c:val>
          <c:smooth val="0"/>
          <c:extLst>
            <c:ext xmlns:c16="http://schemas.microsoft.com/office/drawing/2014/chart" uri="{C3380CC4-5D6E-409C-BE32-E72D297353CC}">
              <c16:uniqueId val="{00000002-1DD9-4E17-9660-C2F6C8AF9EBA}"/>
            </c:ext>
          </c:extLst>
        </c:ser>
        <c:ser>
          <c:idx val="3"/>
          <c:order val="3"/>
          <c:tx>
            <c:strRef>
              <c:f>Sheet28!$E$1</c:f>
              <c:strCache>
                <c:ptCount val="1"/>
                <c:pt idx="0">
                  <c:v>Upper Confidence Bound( Sales )</c:v>
                </c:pt>
              </c:strCache>
            </c:strRef>
          </c:tx>
          <c:spPr>
            <a:ln w="12700" cap="rnd">
              <a:solidFill>
                <a:srgbClr val="C0504D"/>
              </a:solidFill>
              <a:prstDash val="solid"/>
              <a:round/>
            </a:ln>
            <a:effectLst/>
          </c:spPr>
          <c:marker>
            <c:symbol val="none"/>
          </c:marker>
          <c:cat>
            <c:numRef>
              <c:f>Sheet28!$A$2:$A$21</c:f>
              <c:numCache>
                <c:formatCode>m/d/yyyy</c:formatCode>
                <c:ptCount val="20"/>
                <c:pt idx="0">
                  <c:v>44197</c:v>
                </c:pt>
                <c:pt idx="1">
                  <c:v>44228</c:v>
                </c:pt>
                <c:pt idx="2">
                  <c:v>44256</c:v>
                </c:pt>
                <c:pt idx="3">
                  <c:v>44287</c:v>
                </c:pt>
                <c:pt idx="4">
                  <c:v>44317</c:v>
                </c:pt>
                <c:pt idx="5">
                  <c:v>44348</c:v>
                </c:pt>
                <c:pt idx="6">
                  <c:v>44378</c:v>
                </c:pt>
                <c:pt idx="7">
                  <c:v>44409</c:v>
                </c:pt>
                <c:pt idx="8">
                  <c:v>44440</c:v>
                </c:pt>
                <c:pt idx="9">
                  <c:v>44470</c:v>
                </c:pt>
                <c:pt idx="10">
                  <c:v>44501</c:v>
                </c:pt>
                <c:pt idx="11">
                  <c:v>44531</c:v>
                </c:pt>
                <c:pt idx="12">
                  <c:v>44562</c:v>
                </c:pt>
                <c:pt idx="13">
                  <c:v>44593</c:v>
                </c:pt>
                <c:pt idx="14">
                  <c:v>44621</c:v>
                </c:pt>
                <c:pt idx="15">
                  <c:v>44652</c:v>
                </c:pt>
                <c:pt idx="16">
                  <c:v>44682</c:v>
                </c:pt>
                <c:pt idx="17">
                  <c:v>44713</c:v>
                </c:pt>
                <c:pt idx="18">
                  <c:v>44743</c:v>
                </c:pt>
                <c:pt idx="19">
                  <c:v>44774</c:v>
                </c:pt>
              </c:numCache>
            </c:numRef>
          </c:cat>
          <c:val>
            <c:numRef>
              <c:f>Sheet28!$E$2:$E$21</c:f>
              <c:numCache>
                <c:formatCode>General</c:formatCode>
                <c:ptCount val="20"/>
                <c:pt idx="15" formatCode="_([$$-409]* #,##0_);_([$$-409]* \(#,##0\);_([$$-409]* &quot;-&quot;??_);_(@_)">
                  <c:v>287104</c:v>
                </c:pt>
                <c:pt idx="16" formatCode="_([$$-409]* #,##0_);_([$$-409]* \(#,##0\);_([$$-409]* &quot;-&quot;??_);_(@_)">
                  <c:v>309179.95168111846</c:v>
                </c:pt>
                <c:pt idx="17" formatCode="_([$$-409]* #,##0_);_([$$-409]* \(#,##0\);_([$$-409]* &quot;-&quot;??_);_(@_)">
                  <c:v>315879.53543780686</c:v>
                </c:pt>
                <c:pt idx="18" formatCode="_([$$-409]* #,##0_);_([$$-409]* \(#,##0\);_([$$-409]* &quot;-&quot;??_);_(@_)">
                  <c:v>322586.06303629139</c:v>
                </c:pt>
                <c:pt idx="19" formatCode="_([$$-409]* #,##0_);_([$$-409]* \(#,##0\);_([$$-409]* &quot;-&quot;??_);_(@_)">
                  <c:v>329299.47922688304</c:v>
                </c:pt>
              </c:numCache>
            </c:numRef>
          </c:val>
          <c:smooth val="0"/>
          <c:extLst>
            <c:ext xmlns:c16="http://schemas.microsoft.com/office/drawing/2014/chart" uri="{C3380CC4-5D6E-409C-BE32-E72D297353CC}">
              <c16:uniqueId val="{00000003-1DD9-4E17-9660-C2F6C8AF9EBA}"/>
            </c:ext>
          </c:extLst>
        </c:ser>
        <c:dLbls>
          <c:showLegendKey val="0"/>
          <c:showVal val="0"/>
          <c:showCatName val="0"/>
          <c:showSerName val="0"/>
          <c:showPercent val="0"/>
          <c:showBubbleSize val="0"/>
        </c:dLbls>
        <c:smooth val="0"/>
        <c:axId val="514552048"/>
        <c:axId val="514549424"/>
      </c:lineChart>
      <c:catAx>
        <c:axId val="514552048"/>
        <c:scaling>
          <c:orientation val="minMax"/>
        </c:scaling>
        <c:delete val="0"/>
        <c:axPos val="b"/>
        <c:majorTickMark val="none"/>
        <c:minorTickMark val="none"/>
        <c:tickLblPos val="low"/>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14549424"/>
        <c:crosses val="autoZero"/>
        <c:auto val="1"/>
        <c:lblAlgn val="ctr"/>
        <c:lblOffset val="100"/>
        <c:noMultiLvlLbl val="0"/>
      </c:catAx>
      <c:valAx>
        <c:axId val="514549424"/>
        <c:scaling>
          <c:orientation val="minMax"/>
        </c:scaling>
        <c:delete val="0"/>
        <c:axPos val="l"/>
        <c:majorGridlines>
          <c:spPr>
            <a:ln w="9525" cap="flat" cmpd="sng" algn="ctr">
              <a:solidFill>
                <a:schemeClr val="tx1">
                  <a:lumMod val="15000"/>
                  <a:lumOff val="85000"/>
                </a:schemeClr>
              </a:solidFill>
              <a:round/>
            </a:ln>
            <a:effectLst/>
          </c:spPr>
        </c:majorGridlines>
        <c:numFmt formatCode="_([$$-409]* #,##0_);_([$$-409]* \(#,##0\);_([$$-409]*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1455204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tx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solidFill>
    </cs:spPr>
  </cs:downBar>
  <cs:dropLine>
    <cs:lnRef idx="0"/>
    <cs:fillRef idx="0"/>
    <cs:effectRef idx="0"/>
    <cs:fontRef idx="minor">
      <a:schemeClr val="tx1"/>
    </cs:fontRef>
  </cs:dropLine>
  <cs:errorBar>
    <cs:lnRef idx="0"/>
    <cs:fillRef idx="0"/>
    <cs:effectRef idx="0"/>
    <cs:fontRef idx="minor">
      <a:schemeClr val="tx1"/>
    </cs:fontRef>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a:solidFill>
          <a:schemeClr val="tx1">
            <a:lumMod val="15000"/>
            <a:lumOff val="85000"/>
            <a:lumOff val="10000"/>
          </a:schemeClr>
        </a:solidFill>
      </a:ln>
    </cs:spPr>
  </cs:gridlineMinor>
  <cs:hiLoLine>
    <cs:lnRef idx="0"/>
    <cs:fillRef idx="0"/>
    <cs:effectRef idx="0"/>
    <cs:fontRef idx="minor">
      <a:schemeClr val="tx1"/>
    </cs:fontRef>
  </cs:hiLoLine>
  <cs:leaderLine>
    <cs:lnRef idx="0"/>
    <cs:fillRef idx="0"/>
    <cs:effectRef idx="0"/>
    <cs:fontRef idx="minor">
      <a:schemeClr val="tx1"/>
    </cs:fontRef>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414">
  <cs:axisTitle>
    <cs:lnRef idx="0"/>
    <cs:fillRef idx="0"/>
    <cs:effectRef idx="0"/>
    <cs:fontRef idx="minor">
      <a:schemeClr val="tx1">
        <a:lumMod val="65000"/>
        <a:lumOff val="35000"/>
      </a:schemeClr>
    </cs:fontRef>
    <cs:spPr>
      <a:solidFill>
        <a:schemeClr val="bg1">
          <a:lumMod val="85000"/>
        </a:schemeClr>
      </a:solidFill>
      <a:ln w="19050">
        <a:solidFill>
          <a:schemeClr val="bg1"/>
        </a:solidFill>
      </a:ln>
    </cs:spPr>
    <cs:defRPr sz="900"/>
  </cs:axisTitle>
  <cs:categoryAxis>
    <cs:lnRef idx="0"/>
    <cs:fillRef idx="0"/>
    <cs:effectRef idx="0"/>
    <cs:fontRef idx="major">
      <a:schemeClr val="dk1">
        <a:lumMod val="50000"/>
        <a:lumOff val="50000"/>
      </a:schemeClr>
    </cs:fontRef>
    <cs:defRPr sz="900"/>
  </cs:categoryAxis>
  <cs:chartArea>
    <cs:lnRef idx="0"/>
    <cs:fillRef idx="0"/>
    <cs:effectRef idx="0"/>
    <cs:fontRef idx="minor">
      <a:schemeClr val="dk1"/>
    </cs:fontRef>
    <cs:spPr>
      <a:pattFill prst="dkDnDiag">
        <a:fgClr>
          <a:schemeClr val="lt1"/>
        </a:fgClr>
        <a:bgClr>
          <a:schemeClr val="dk1">
            <a:lumMod val="10000"/>
            <a:lumOff val="90000"/>
          </a:schemeClr>
        </a:bgClr>
      </a:patt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75000"/>
        <a:lumOff val="25000"/>
      </a:schemeClr>
    </cs:fontRef>
    <cs:defRPr sz="900" kern="1200"/>
    <cs:bodyPr lIns="38100" tIns="19050" rIns="38100" bIns="19050">
      <a:spAutoFit/>
    </cs:bodyPr>
  </cs:dataLabel>
  <cs:dataLabelCallout>
    <cs:lnRef idx="0"/>
    <cs:fillRef idx="0"/>
    <cs:effectRef idx="0"/>
    <cs:fontRef idx="major">
      <a:schemeClr val="dk1">
        <a:lumMod val="50000"/>
        <a:lumOff val="50000"/>
      </a:schemeClr>
    </cs:fontRef>
    <cs:spPr>
      <a:solidFill>
        <a:schemeClr val="lt1">
          <a:alpha val="75000"/>
        </a:schemeClr>
      </a:solidFill>
      <a:ln w="9525">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gradFill>
        <a:gsLst>
          <a:gs pos="100000">
            <a:schemeClr val="phClr">
              <a:lumMod val="60000"/>
              <a:lumOff val="40000"/>
            </a:schemeClr>
          </a:gs>
          <a:gs pos="0">
            <a:schemeClr val="phClr"/>
          </a:gs>
        </a:gsLst>
        <a:lin ang="5400000" scaled="0"/>
      </a:gradFill>
      <a:ln w="19050">
        <a:solidFill>
          <a:schemeClr val="lt1"/>
        </a:solidFill>
      </a:ln>
    </cs:spPr>
  </cs:dataPoint>
  <cs:dataPoint3D>
    <cs:lnRef idx="0"/>
    <cs:fillRef idx="0">
      <cs:styleClr val="auto"/>
    </cs:fillRef>
    <cs:effectRef idx="0"/>
    <cs:fontRef idx="minor">
      <a:schemeClr val="tx1"/>
    </cs:fontRef>
    <cs:spPr>
      <a:solidFill>
        <a:schemeClr val="phClr"/>
      </a:solidFill>
      <a:ln w="50800">
        <a:solidFill>
          <a:schemeClr val="lt1"/>
        </a:solidFill>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ajor">
      <a:schemeClr val="dk1">
        <a:lumMod val="50000"/>
        <a:lumOff val="50000"/>
      </a:schemeClr>
    </cs:fontRef>
    <cs:defRPr sz="900"/>
  </cs:dataTable>
  <cs:downBar>
    <cs:lnRef idx="0"/>
    <cs:fillRef idx="0"/>
    <cs:effectRef idx="0"/>
    <cs:fontRef idx="minor">
      <a:schemeClr val="dk1"/>
    </cs:fontRef>
    <cs:spPr>
      <a:solidFill>
        <a:schemeClr val="dk1"/>
      </a:solidFill>
    </cs:spPr>
  </cs:downBar>
  <cs:dropLine>
    <cs:lnRef idx="0"/>
    <cs:fillRef idx="0"/>
    <cs:effectRef idx="0"/>
    <cs:fontRef idx="minor">
      <a:schemeClr val="dk1"/>
    </cs:fontRef>
  </cs:dropLine>
  <cs:errorBar>
    <cs:lnRef idx="0"/>
    <cs:fillRef idx="0"/>
    <cs:effectRef idx="0"/>
    <cs:fontRef idx="minor">
      <a:schemeClr val="dk1"/>
    </cs:fontRef>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lumOff val="10000"/>
          </a:schemeClr>
        </a:solidFill>
        <a:round/>
      </a:ln>
    </cs:spPr>
  </cs:gridlineMinor>
  <cs:hiLoLine>
    <cs:lnRef idx="0"/>
    <cs:fillRef idx="0"/>
    <cs:effectRef idx="0"/>
    <cs:fontRef idx="minor">
      <a:schemeClr val="dk1"/>
    </cs:fontRef>
  </cs:hiLoLine>
  <cs:leaderLine>
    <cs:lnRef idx="0"/>
    <cs:fillRef idx="0"/>
    <cs:effectRef idx="0"/>
    <cs:fontRef idx="minor">
      <a:schemeClr val="dk1"/>
    </cs:fontRef>
  </cs:leaderLine>
  <cs:legend>
    <cs:lnRef idx="0"/>
    <cs:fillRef idx="0"/>
    <cs:effectRef idx="0"/>
    <cs:fontRef idx="minor">
      <a:schemeClr val="dk1">
        <a:lumMod val="65000"/>
        <a:lumOff val="35000"/>
      </a:schemeClr>
    </cs:fontRef>
    <cs:spPr>
      <a:solidFill>
        <a:schemeClr val="lt1">
          <a:alpha val="50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ajor">
      <a:schemeClr val="dk1">
        <a:lumMod val="50000"/>
        <a:lumOff val="50000"/>
      </a:schemeClr>
    </cs:fontRef>
    <cs:defRPr sz="900"/>
  </cs:seriesAxis>
  <cs:seriesLine>
    <cs:lnRef idx="0"/>
    <cs:fillRef idx="0"/>
    <cs:effectRef idx="0"/>
    <cs:fontRef idx="minor">
      <a:schemeClr val="dk1"/>
    </cs:fontRef>
    <cs:spPr>
      <a:ln w="9525" cap="flat">
        <a:solidFill>
          <a:srgbClr val="D9D9D9"/>
        </a:solidFill>
        <a:round/>
      </a:ln>
    </cs:spPr>
  </cs:seriesLine>
  <cs:title>
    <cs:lnRef idx="0"/>
    <cs:fillRef idx="0"/>
    <cs:effectRef idx="0"/>
    <cs:fontRef idx="major">
      <a:schemeClr val="dk1">
        <a:lumMod val="50000"/>
        <a:lumOff val="50000"/>
      </a:schemeClr>
    </cs:fontRef>
    <cs:defRPr sz="1600" b="1" kern="1200" spc="0" normalizeH="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ajor">
      <a:schemeClr val="dk1">
        <a:lumMod val="50000"/>
        <a:lumOff val="50000"/>
      </a:schemeClr>
    </cs:fontRef>
    <cs:defRPr sz="900"/>
  </cs:trendlineLabel>
  <cs:upBar>
    <cs:lnRef idx="0"/>
    <cs:fillRef idx="0"/>
    <cs:effectRef idx="0"/>
    <cs:fontRef idx="minor">
      <a:schemeClr val="dk1"/>
    </cs:fontRef>
    <cs:spPr>
      <a:solidFill>
        <a:schemeClr val="lt1"/>
      </a:solidFill>
    </cs:spPr>
  </cs:upBar>
  <cs:valueAxis>
    <cs:lnRef idx="0"/>
    <cs:fillRef idx="0"/>
    <cs:effectRef idx="0"/>
    <cs:fontRef idx="major">
      <a:schemeClr val="dk1">
        <a:lumMod val="50000"/>
        <a:lumOff val="50000"/>
      </a:schemeClr>
    </cs:fontRef>
    <cs:defRPr sz="9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395">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bodyPr/>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bodyPr wrap="square" lIns="38100" tIns="19050" rIns="38100" bIns="19050" anchor="ctr">
      <a:spAutoFit/>
    </cs:bodyPr>
  </cs:dataLabel>
  <cs:dataLabelCallout>
    <cs:lnRef idx="0"/>
    <cs:fillRef idx="0"/>
    <cs:effectRef idx="0"/>
    <cs:fontRef idx="minor">
      <a:schemeClr val="tx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solidFill>
    </cs:spPr>
  </cs:downBar>
  <cs:dropLine>
    <cs:lnRef idx="0"/>
    <cs:fillRef idx="0"/>
    <cs:effectRef idx="0"/>
    <cs:fontRef idx="minor">
      <a:schemeClr val="tx1"/>
    </cs:fontRef>
  </cs:dropLine>
  <cs:errorBar>
    <cs:lnRef idx="0"/>
    <cs:fillRef idx="0"/>
    <cs:effectRef idx="0"/>
    <cs:fontRef idx="minor">
      <a:schemeClr val="tx1"/>
    </cs:fontRef>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a:solidFill>
          <a:schemeClr val="tx1">
            <a:lumMod val="15000"/>
            <a:lumOff val="85000"/>
            <a:lumOff val="10000"/>
          </a:schemeClr>
        </a:solidFill>
      </a:ln>
    </cs:spPr>
  </cs:gridlineMinor>
  <cs:hiLoLine>
    <cs:lnRef idx="0"/>
    <cs:fillRef idx="0"/>
    <cs:effectRef idx="0"/>
    <cs:fontRef idx="minor">
      <a:schemeClr val="tx1"/>
    </cs:fontRef>
  </cs:hiLoLine>
  <cs:leaderLine>
    <cs:lnRef idx="0"/>
    <cs:fillRef idx="0"/>
    <cs:effectRef idx="0"/>
    <cs:fontRef idx="minor">
      <a:schemeClr val="tx1"/>
    </cs:fontRef>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bodyPr/>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b="0" kern="1200" spc="0" baseline="0"/>
    <cs:bodyPr/>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cs:spPr>
  </cs:upBar>
  <cs:valueAxis>
    <cs:lnRef idx="0"/>
    <cs:fillRef idx="0"/>
    <cs:effectRef idx="0"/>
    <cs:fontRef idx="minor">
      <a:schemeClr val="tx1">
        <a:lumMod val="65000"/>
        <a:lumOff val="35000"/>
      </a:schemeClr>
    </cs:fontRef>
    <cs:defRPr sz="900" kern="1200"/>
    <cs:bodyPr/>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tx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solidFill>
    </cs:spPr>
  </cs:downBar>
  <cs:dropLine>
    <cs:lnRef idx="0"/>
    <cs:fillRef idx="0"/>
    <cs:effectRef idx="0"/>
    <cs:fontRef idx="minor">
      <a:schemeClr val="tx1"/>
    </cs:fontRef>
  </cs:dropLine>
  <cs:errorBar>
    <cs:lnRef idx="0"/>
    <cs:fillRef idx="0"/>
    <cs:effectRef idx="0"/>
    <cs:fontRef idx="minor">
      <a:schemeClr val="tx1"/>
    </cs:fontRef>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a:solidFill>
          <a:schemeClr val="tx1">
            <a:lumMod val="15000"/>
            <a:lumOff val="85000"/>
            <a:lumOff val="10000"/>
          </a:schemeClr>
        </a:solidFill>
      </a:ln>
    </cs:spPr>
  </cs:gridlineMinor>
  <cs:hiLoLine>
    <cs:lnRef idx="0"/>
    <cs:fillRef idx="0"/>
    <cs:effectRef idx="0"/>
    <cs:fontRef idx="minor">
      <a:schemeClr val="tx1"/>
    </cs:fontRef>
  </cs:hiLoLine>
  <cs:leaderLine>
    <cs:lnRef idx="0"/>
    <cs:fillRef idx="0"/>
    <cs:effectRef idx="0"/>
    <cs:fontRef idx="minor">
      <a:schemeClr val="tx1"/>
    </cs:fontRef>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414">
  <cs:axisTitle>
    <cs:lnRef idx="0"/>
    <cs:fillRef idx="0"/>
    <cs:effectRef idx="0"/>
    <cs:fontRef idx="minor">
      <a:schemeClr val="tx1">
        <a:lumMod val="65000"/>
        <a:lumOff val="35000"/>
      </a:schemeClr>
    </cs:fontRef>
    <cs:spPr>
      <a:solidFill>
        <a:schemeClr val="bg1">
          <a:lumMod val="85000"/>
        </a:schemeClr>
      </a:solidFill>
      <a:ln w="19050">
        <a:solidFill>
          <a:schemeClr val="bg1"/>
        </a:solidFill>
      </a:ln>
    </cs:spPr>
    <cs:defRPr sz="900"/>
  </cs:axisTitle>
  <cs:categoryAxis>
    <cs:lnRef idx="0"/>
    <cs:fillRef idx="0"/>
    <cs:effectRef idx="0"/>
    <cs:fontRef idx="major">
      <a:schemeClr val="dk1">
        <a:lumMod val="50000"/>
        <a:lumOff val="50000"/>
      </a:schemeClr>
    </cs:fontRef>
    <cs:defRPr sz="900"/>
  </cs:categoryAxis>
  <cs:chartArea>
    <cs:lnRef idx="0"/>
    <cs:fillRef idx="0"/>
    <cs:effectRef idx="0"/>
    <cs:fontRef idx="minor">
      <a:schemeClr val="dk1"/>
    </cs:fontRef>
    <cs:spPr>
      <a:pattFill prst="dkDnDiag">
        <a:fgClr>
          <a:schemeClr val="lt1"/>
        </a:fgClr>
        <a:bgClr>
          <a:schemeClr val="dk1">
            <a:lumMod val="10000"/>
            <a:lumOff val="90000"/>
          </a:schemeClr>
        </a:bgClr>
      </a:patt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75000"/>
        <a:lumOff val="25000"/>
      </a:schemeClr>
    </cs:fontRef>
    <cs:defRPr sz="900" kern="1200"/>
    <cs:bodyPr lIns="38100" tIns="19050" rIns="38100" bIns="19050">
      <a:spAutoFit/>
    </cs:bodyPr>
  </cs:dataLabel>
  <cs:dataLabelCallout>
    <cs:lnRef idx="0"/>
    <cs:fillRef idx="0"/>
    <cs:effectRef idx="0"/>
    <cs:fontRef idx="major">
      <a:schemeClr val="dk1">
        <a:lumMod val="50000"/>
        <a:lumOff val="50000"/>
      </a:schemeClr>
    </cs:fontRef>
    <cs:spPr>
      <a:solidFill>
        <a:schemeClr val="lt1">
          <a:alpha val="75000"/>
        </a:schemeClr>
      </a:solidFill>
      <a:ln w="9525">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gradFill>
        <a:gsLst>
          <a:gs pos="100000">
            <a:schemeClr val="phClr">
              <a:lumMod val="60000"/>
              <a:lumOff val="40000"/>
            </a:schemeClr>
          </a:gs>
          <a:gs pos="0">
            <a:schemeClr val="phClr"/>
          </a:gs>
        </a:gsLst>
        <a:lin ang="5400000" scaled="0"/>
      </a:gradFill>
      <a:ln w="19050">
        <a:solidFill>
          <a:schemeClr val="lt1"/>
        </a:solidFill>
      </a:ln>
    </cs:spPr>
  </cs:dataPoint>
  <cs:dataPoint3D>
    <cs:lnRef idx="0"/>
    <cs:fillRef idx="0">
      <cs:styleClr val="auto"/>
    </cs:fillRef>
    <cs:effectRef idx="0"/>
    <cs:fontRef idx="minor">
      <a:schemeClr val="tx1"/>
    </cs:fontRef>
    <cs:spPr>
      <a:solidFill>
        <a:schemeClr val="phClr"/>
      </a:solidFill>
      <a:ln w="50800">
        <a:solidFill>
          <a:schemeClr val="lt1"/>
        </a:solidFill>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ajor">
      <a:schemeClr val="dk1">
        <a:lumMod val="50000"/>
        <a:lumOff val="50000"/>
      </a:schemeClr>
    </cs:fontRef>
    <cs:defRPr sz="900"/>
  </cs:dataTable>
  <cs:downBar>
    <cs:lnRef idx="0"/>
    <cs:fillRef idx="0"/>
    <cs:effectRef idx="0"/>
    <cs:fontRef idx="minor">
      <a:schemeClr val="dk1"/>
    </cs:fontRef>
    <cs:spPr>
      <a:solidFill>
        <a:schemeClr val="dk1"/>
      </a:solidFill>
    </cs:spPr>
  </cs:downBar>
  <cs:dropLine>
    <cs:lnRef idx="0"/>
    <cs:fillRef idx="0"/>
    <cs:effectRef idx="0"/>
    <cs:fontRef idx="minor">
      <a:schemeClr val="dk1"/>
    </cs:fontRef>
  </cs:dropLine>
  <cs:errorBar>
    <cs:lnRef idx="0"/>
    <cs:fillRef idx="0"/>
    <cs:effectRef idx="0"/>
    <cs:fontRef idx="minor">
      <a:schemeClr val="dk1"/>
    </cs:fontRef>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lumOff val="10000"/>
          </a:schemeClr>
        </a:solidFill>
        <a:round/>
      </a:ln>
    </cs:spPr>
  </cs:gridlineMinor>
  <cs:hiLoLine>
    <cs:lnRef idx="0"/>
    <cs:fillRef idx="0"/>
    <cs:effectRef idx="0"/>
    <cs:fontRef idx="minor">
      <a:schemeClr val="dk1"/>
    </cs:fontRef>
  </cs:hiLoLine>
  <cs:leaderLine>
    <cs:lnRef idx="0"/>
    <cs:fillRef idx="0"/>
    <cs:effectRef idx="0"/>
    <cs:fontRef idx="minor">
      <a:schemeClr val="dk1"/>
    </cs:fontRef>
  </cs:leaderLine>
  <cs:legend>
    <cs:lnRef idx="0"/>
    <cs:fillRef idx="0"/>
    <cs:effectRef idx="0"/>
    <cs:fontRef idx="minor">
      <a:schemeClr val="dk1">
        <a:lumMod val="65000"/>
        <a:lumOff val="35000"/>
      </a:schemeClr>
    </cs:fontRef>
    <cs:spPr>
      <a:solidFill>
        <a:schemeClr val="lt1">
          <a:alpha val="50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ajor">
      <a:schemeClr val="dk1">
        <a:lumMod val="50000"/>
        <a:lumOff val="50000"/>
      </a:schemeClr>
    </cs:fontRef>
    <cs:defRPr sz="900"/>
  </cs:seriesAxis>
  <cs:seriesLine>
    <cs:lnRef idx="0"/>
    <cs:fillRef idx="0"/>
    <cs:effectRef idx="0"/>
    <cs:fontRef idx="minor">
      <a:schemeClr val="dk1"/>
    </cs:fontRef>
    <cs:spPr>
      <a:ln w="9525" cap="flat">
        <a:solidFill>
          <a:srgbClr val="D9D9D9"/>
        </a:solidFill>
        <a:round/>
      </a:ln>
    </cs:spPr>
  </cs:seriesLine>
  <cs:title>
    <cs:lnRef idx="0"/>
    <cs:fillRef idx="0"/>
    <cs:effectRef idx="0"/>
    <cs:fontRef idx="major">
      <a:schemeClr val="dk1">
        <a:lumMod val="50000"/>
        <a:lumOff val="50000"/>
      </a:schemeClr>
    </cs:fontRef>
    <cs:defRPr sz="1600" b="1" kern="1200" spc="0" normalizeH="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ajor">
      <a:schemeClr val="dk1">
        <a:lumMod val="50000"/>
        <a:lumOff val="50000"/>
      </a:schemeClr>
    </cs:fontRef>
    <cs:defRPr sz="900"/>
  </cs:trendlineLabel>
  <cs:upBar>
    <cs:lnRef idx="0"/>
    <cs:fillRef idx="0"/>
    <cs:effectRef idx="0"/>
    <cs:fontRef idx="minor">
      <a:schemeClr val="dk1"/>
    </cs:fontRef>
    <cs:spPr>
      <a:solidFill>
        <a:schemeClr val="lt1"/>
      </a:solidFill>
    </cs:spPr>
  </cs:upBar>
  <cs:valueAxis>
    <cs:lnRef idx="0"/>
    <cs:fillRef idx="0"/>
    <cs:effectRef idx="0"/>
    <cs:fontRef idx="major">
      <a:schemeClr val="dk1">
        <a:lumMod val="50000"/>
        <a:lumOff val="50000"/>
      </a:schemeClr>
    </cs:fontRef>
    <cs:defRPr sz="9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tx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solidFill>
    </cs:spPr>
  </cs:downBar>
  <cs:dropLine>
    <cs:lnRef idx="0"/>
    <cs:fillRef idx="0"/>
    <cs:effectRef idx="0"/>
    <cs:fontRef idx="minor">
      <a:schemeClr val="tx1"/>
    </cs:fontRef>
  </cs:dropLine>
  <cs:errorBar>
    <cs:lnRef idx="0"/>
    <cs:fillRef idx="0"/>
    <cs:effectRef idx="0"/>
    <cs:fontRef idx="minor">
      <a:schemeClr val="tx1"/>
    </cs:fontRef>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a:solidFill>
          <a:schemeClr val="tx1">
            <a:lumMod val="15000"/>
            <a:lumOff val="85000"/>
            <a:lumOff val="10000"/>
          </a:schemeClr>
        </a:solidFill>
      </a:ln>
    </cs:spPr>
  </cs:gridlineMinor>
  <cs:hiLoLine>
    <cs:lnRef idx="0"/>
    <cs:fillRef idx="0"/>
    <cs:effectRef idx="0"/>
    <cs:fontRef idx="minor">
      <a:schemeClr val="tx1"/>
    </cs:fontRef>
  </cs:hiLoLine>
  <cs:leaderLine>
    <cs:lnRef idx="0"/>
    <cs:fillRef idx="0"/>
    <cs:effectRef idx="0"/>
    <cs:fontRef idx="minor">
      <a:schemeClr val="tx1"/>
    </cs:fontRef>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wall>
</cs:chartStyle>
</file>

<file path=xl/charts/style7.xml><?xml version="1.0" encoding="utf-8"?>
<cs:chartStyle xmlns:cs="http://schemas.microsoft.com/office/drawing/2012/chartStyle" xmlns:a="http://schemas.openxmlformats.org/drawingml/2006/main" id="395">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bodyPr/>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bodyPr wrap="square" lIns="38100" tIns="19050" rIns="38100" bIns="19050" anchor="ctr">
      <a:spAutoFit/>
    </cs:bodyPr>
  </cs:dataLabel>
  <cs:dataLabelCallout>
    <cs:lnRef idx="0"/>
    <cs:fillRef idx="0"/>
    <cs:effectRef idx="0"/>
    <cs:fontRef idx="minor">
      <a:schemeClr val="tx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solidFill>
    </cs:spPr>
  </cs:downBar>
  <cs:dropLine>
    <cs:lnRef idx="0"/>
    <cs:fillRef idx="0"/>
    <cs:effectRef idx="0"/>
    <cs:fontRef idx="minor">
      <a:schemeClr val="tx1"/>
    </cs:fontRef>
  </cs:dropLine>
  <cs:errorBar>
    <cs:lnRef idx="0"/>
    <cs:fillRef idx="0"/>
    <cs:effectRef idx="0"/>
    <cs:fontRef idx="minor">
      <a:schemeClr val="tx1"/>
    </cs:fontRef>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a:solidFill>
          <a:schemeClr val="tx1">
            <a:lumMod val="15000"/>
            <a:lumOff val="85000"/>
            <a:lumOff val="10000"/>
          </a:schemeClr>
        </a:solidFill>
      </a:ln>
    </cs:spPr>
  </cs:gridlineMinor>
  <cs:hiLoLine>
    <cs:lnRef idx="0"/>
    <cs:fillRef idx="0"/>
    <cs:effectRef idx="0"/>
    <cs:fontRef idx="minor">
      <a:schemeClr val="tx1"/>
    </cs:fontRef>
  </cs:hiLoLine>
  <cs:leaderLine>
    <cs:lnRef idx="0"/>
    <cs:fillRef idx="0"/>
    <cs:effectRef idx="0"/>
    <cs:fontRef idx="minor">
      <a:schemeClr val="tx1"/>
    </cs:fontRef>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bodyPr/>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b="0" kern="1200" spc="0" baseline="0"/>
    <cs:bodyPr/>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cs:spPr>
  </cs:upBar>
  <cs:valueAxis>
    <cs:lnRef idx="0"/>
    <cs:fillRef idx="0"/>
    <cs:effectRef idx="0"/>
    <cs:fontRef idx="minor">
      <a:schemeClr val="tx1">
        <a:lumMod val="65000"/>
        <a:lumOff val="35000"/>
      </a:schemeClr>
    </cs:fontRef>
    <cs:defRPr sz="900" kern="1200"/>
    <cs:bodyPr/>
  </cs:valueAxis>
  <cs:wall>
    <cs:lnRef idx="0"/>
    <cs:fillRef idx="0"/>
    <cs:effectRef idx="0"/>
    <cs:fontRef idx="minor">
      <a:schemeClr val="tx1"/>
    </cs:fontRef>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11.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12.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1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chartsheets/sheet1.xml><?xml version="1.0" encoding="utf-8"?>
<chartsheet xmlns="http://schemas.openxmlformats.org/spreadsheetml/2006/main" xmlns:r="http://schemas.openxmlformats.org/officeDocument/2006/relationships">
  <sheetPr/>
  <sheetViews>
    <sheetView zoomScale="66" workbookViewId="0" zoomToFit="1"/>
  </sheetViews>
  <pageMargins left="0.7" right="0.7" top="0.75" bottom="0.75" header="0.3" footer="0.3"/>
  <drawing r:id="rId1"/>
</chartsheet>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2" Type="http://schemas.openxmlformats.org/officeDocument/2006/relationships/chart" Target="../charts/chart3.xml"/><Relationship Id="rId1" Type="http://schemas.openxmlformats.org/officeDocument/2006/relationships/chart" Target="../charts/chart2.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s>
</file>

<file path=xl/drawings/_rels/drawing7.xml.rels><?xml version="1.0" encoding="UTF-8" standalone="yes"?>
<Relationships xmlns="http://schemas.openxmlformats.org/package/2006/relationships"><Relationship Id="rId3" Type="http://schemas.openxmlformats.org/officeDocument/2006/relationships/chart" Target="../charts/chart9.xml"/><Relationship Id="rId2" Type="http://schemas.openxmlformats.org/officeDocument/2006/relationships/chart" Target="../charts/chart8.xml"/><Relationship Id="rId1" Type="http://schemas.openxmlformats.org/officeDocument/2006/relationships/chart" Target="../charts/chart7.xml"/></Relationships>
</file>

<file path=xl/drawings/_rels/drawing8.xml.rels><?xml version="1.0" encoding="UTF-8" standalone="yes"?>
<Relationships xmlns="http://schemas.openxmlformats.org/package/2006/relationships"><Relationship Id="rId3" Type="http://schemas.openxmlformats.org/officeDocument/2006/relationships/chart" Target="../charts/chart12.xml"/><Relationship Id="rId2" Type="http://schemas.openxmlformats.org/officeDocument/2006/relationships/chart" Target="../charts/chart11.xml"/><Relationship Id="rId1" Type="http://schemas.openxmlformats.org/officeDocument/2006/relationships/chart" Target="../charts/chart10.xml"/></Relationships>
</file>

<file path=xl/drawings/_rels/drawing9.xml.rels><?xml version="1.0" encoding="UTF-8" standalone="yes"?>
<Relationships xmlns="http://schemas.openxmlformats.org/package/2006/relationships"><Relationship Id="rId1" Type="http://schemas.openxmlformats.org/officeDocument/2006/relationships/chart" Target="../charts/chart13.xml"/></Relationships>
</file>

<file path=xl/drawings/_rels/drawing10.xml.rels><?xml version="1.0" encoding="UTF-8" standalone="yes"?>
<Relationships xmlns="http://schemas.openxmlformats.org/package/2006/relationships"><Relationship Id="rId1" Type="http://schemas.openxmlformats.org/officeDocument/2006/relationships/chart" Target="../charts/chart14.xml"/></Relationships>
</file>

<file path=xl/drawings/_rels/drawing11.xml.rels><?xml version="1.0" encoding="UTF-8" standalone="yes"?>
<Relationships xmlns="http://schemas.openxmlformats.org/package/2006/relationships"><Relationship Id="rId3" Type="http://schemas.openxmlformats.org/officeDocument/2006/relationships/chart" Target="../charts/chart17.xml"/><Relationship Id="rId2" Type="http://schemas.openxmlformats.org/officeDocument/2006/relationships/chart" Target="../charts/chart16.xml"/><Relationship Id="rId1" Type="http://schemas.openxmlformats.org/officeDocument/2006/relationships/chart" Target="../charts/chart15.xml"/></Relationships>
</file>

<file path=xl/drawings/_rels/drawing12.xml.rels><?xml version="1.0" encoding="UTF-8" standalone="yes"?>
<Relationships xmlns="http://schemas.openxmlformats.org/package/2006/relationships"><Relationship Id="rId1" Type="http://schemas.openxmlformats.org/officeDocument/2006/relationships/chart" Target="../charts/chart18.xml"/></Relationships>
</file>

<file path=xl/drawings/_rels/drawing13.xml.rels><?xml version="1.0" encoding="UTF-8" standalone="yes"?>
<Relationships xmlns="http://schemas.openxmlformats.org/package/2006/relationships"><Relationship Id="rId1" Type="http://schemas.openxmlformats.org/officeDocument/2006/relationships/chart" Target="../charts/chart19.xml"/></Relationships>
</file>

<file path=xl/drawings/drawing1.xml><?xml version="1.0" encoding="utf-8"?>
<xdr:wsDr xmlns:xdr="http://schemas.openxmlformats.org/drawingml/2006/spreadsheetDrawing" xmlns:a="http://schemas.openxmlformats.org/drawingml/2006/main">
  <xdr:absoluteAnchor>
    <xdr:pos x="0" y="0"/>
    <xdr:ext cx="8666189" cy="6292746"/>
    <xdr:graphicFrame macro="">
      <xdr:nvGraphicFramePr>
        <xdr:cNvPr id="2" name="Chart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2</xdr:row>
      <xdr:rowOff>95249</xdr:rowOff>
    </xdr:from>
    <xdr:to>
      <xdr:col>1</xdr:col>
      <xdr:colOff>438150</xdr:colOff>
      <xdr:row>15</xdr:row>
      <xdr:rowOff>87629</xdr:rowOff>
    </xdr:to>
    <mc:AlternateContent xmlns:mc="http://schemas.openxmlformats.org/markup-compatibility/2006" xmlns:a14="http://schemas.microsoft.com/office/drawing/2010/main">
      <mc:Choice Requires="a14">
        <xdr:graphicFrame macro="">
          <xdr:nvGraphicFramePr>
            <xdr:cNvPr id="2" name="Product"/>
            <xdr:cNvGraphicFramePr/>
          </xdr:nvGraphicFramePr>
          <xdr:xfrm>
            <a:off x="0" y="0"/>
            <a:ext cx="0" cy="0"/>
          </xdr:xfrm>
          <a:graphic>
            <a:graphicData uri="http://schemas.microsoft.com/office/drawing/2010/slicer">
              <sle:slicer xmlns:sle="http://schemas.microsoft.com/office/drawing/2010/slicer" name="Product"/>
            </a:graphicData>
          </a:graphic>
        </xdr:graphicFrame>
      </mc:Choice>
      <mc:Fallback xmlns="">
        <xdr:sp macro="" textlink="">
          <xdr:nvSpPr>
            <xdr:cNvPr id="0" name=""/>
            <xdr:cNvSpPr>
              <a:spLocks noTextEdit="1"/>
            </xdr:cNvSpPr>
          </xdr:nvSpPr>
          <xdr:spPr>
            <a:xfrm>
              <a:off x="0" y="476249"/>
              <a:ext cx="1371600" cy="246888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5</xdr:col>
      <xdr:colOff>247650</xdr:colOff>
      <xdr:row>2</xdr:row>
      <xdr:rowOff>142874</xdr:rowOff>
    </xdr:from>
    <xdr:to>
      <xdr:col>6</xdr:col>
      <xdr:colOff>542925</xdr:colOff>
      <xdr:row>15</xdr:row>
      <xdr:rowOff>135254</xdr:rowOff>
    </xdr:to>
    <mc:AlternateContent xmlns:mc="http://schemas.openxmlformats.org/markup-compatibility/2006" xmlns:a14="http://schemas.microsoft.com/office/drawing/2010/main">
      <mc:Choice Requires="a14">
        <xdr:graphicFrame macro="">
          <xdr:nvGraphicFramePr>
            <xdr:cNvPr id="3" name="Product Type"/>
            <xdr:cNvGraphicFramePr/>
          </xdr:nvGraphicFramePr>
          <xdr:xfrm>
            <a:off x="0" y="0"/>
            <a:ext cx="0" cy="0"/>
          </xdr:xfrm>
          <a:graphic>
            <a:graphicData uri="http://schemas.microsoft.com/office/drawing/2010/slicer">
              <sle:slicer xmlns:sle="http://schemas.microsoft.com/office/drawing/2010/slicer" name="Product Type"/>
            </a:graphicData>
          </a:graphic>
        </xdr:graphicFrame>
      </mc:Choice>
      <mc:Fallback xmlns="">
        <xdr:sp macro="" textlink="">
          <xdr:nvSpPr>
            <xdr:cNvPr id="0" name=""/>
            <xdr:cNvSpPr>
              <a:spLocks noTextEdit="1"/>
            </xdr:cNvSpPr>
          </xdr:nvSpPr>
          <xdr:spPr>
            <a:xfrm>
              <a:off x="4810125" y="523874"/>
              <a:ext cx="1371600" cy="246888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16</xdr:row>
      <xdr:rowOff>133349</xdr:rowOff>
    </xdr:from>
    <xdr:to>
      <xdr:col>4</xdr:col>
      <xdr:colOff>76200</xdr:colOff>
      <xdr:row>27</xdr:row>
      <xdr:rowOff>14286</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85725</xdr:colOff>
      <xdr:row>7</xdr:row>
      <xdr:rowOff>47625</xdr:rowOff>
    </xdr:from>
    <xdr:to>
      <xdr:col>4</xdr:col>
      <xdr:colOff>209551</xdr:colOff>
      <xdr:row>15</xdr:row>
      <xdr:rowOff>33337</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1</xdr:col>
      <xdr:colOff>57149</xdr:colOff>
      <xdr:row>10</xdr:row>
      <xdr:rowOff>123824</xdr:rowOff>
    </xdr:from>
    <xdr:to>
      <xdr:col>4</xdr:col>
      <xdr:colOff>600080</xdr:colOff>
      <xdr:row>20</xdr:row>
      <xdr:rowOff>61911</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3</xdr:col>
      <xdr:colOff>304800</xdr:colOff>
      <xdr:row>4</xdr:row>
      <xdr:rowOff>23812</xdr:rowOff>
    </xdr:from>
    <xdr:to>
      <xdr:col>8</xdr:col>
      <xdr:colOff>409575</xdr:colOff>
      <xdr:row>18</xdr:row>
      <xdr:rowOff>100012</xdr:rowOff>
    </xdr:to>
    <mc:AlternateContent xmlns:mc="http://schemas.openxmlformats.org/markup-compatibility/2006">
      <mc:Choice xmlns:cx="http://schemas.microsoft.com/office/drawing/2014/chartex" Requires="cx">
        <xdr:graphicFrame macro="">
          <xdr:nvGraphicFramePr>
            <xdr:cNvPr id="2" name="Chart 1"/>
            <xdr:cNvGraphicFramePr/>
          </xdr:nvGraphicFramePr>
          <xdr:xfrm>
            <a:off x="0" y="0"/>
            <a:ext cx="0" cy="0"/>
          </xdr:xfrm>
          <a:graphic>
            <a:graphicData uri="http://schemas.microsoft.com/office/drawing/2014/chartex">
              <c:chart xmlns:c="http://schemas.openxmlformats.org/drawingml/2006/chart" xmlns:r="http://schemas.openxmlformats.org/officeDocument/2006/relationships" r:id="rId1"/>
            </a:graphicData>
          </a:graphic>
        </xdr:graphicFrame>
      </mc:Choice>
      <mc:Fallback>
        <xdr:sp macro="" textlink="">
          <xdr:nvSpPr>
            <xdr:cNvPr id="0" name=""/>
            <xdr:cNvSpPr>
              <a:spLocks noTextEdit="1"/>
            </xdr:cNvSpPr>
          </xdr:nvSpPr>
          <xdr:spPr>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6.xml><?xml version="1.0" encoding="utf-8"?>
<xdr:wsDr xmlns:xdr="http://schemas.openxmlformats.org/drawingml/2006/spreadsheetDrawing" xmlns:a="http://schemas.openxmlformats.org/drawingml/2006/main">
  <xdr:twoCellAnchor>
    <xdr:from>
      <xdr:col>0</xdr:col>
      <xdr:colOff>28575</xdr:colOff>
      <xdr:row>14</xdr:row>
      <xdr:rowOff>57149</xdr:rowOff>
    </xdr:from>
    <xdr:to>
      <xdr:col>3</xdr:col>
      <xdr:colOff>352425</xdr:colOff>
      <xdr:row>25</xdr:row>
      <xdr:rowOff>33336</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0</xdr:col>
      <xdr:colOff>85724</xdr:colOff>
      <xdr:row>1</xdr:row>
      <xdr:rowOff>9525</xdr:rowOff>
    </xdr:from>
    <xdr:to>
      <xdr:col>3</xdr:col>
      <xdr:colOff>228600</xdr:colOff>
      <xdr:row>9</xdr:row>
      <xdr:rowOff>171450</xdr:rowOff>
    </xdr:to>
    <mc:AlternateContent xmlns:mc="http://schemas.openxmlformats.org/markup-compatibility/2006">
      <mc:Choice xmlns:cx="http://schemas.microsoft.com/office/drawing/2014/chartex" Requires="cx">
        <xdr:graphicFrame macro="">
          <xdr:nvGraphicFramePr>
            <xdr:cNvPr id="2" name="Chart 1"/>
            <xdr:cNvGraphicFramePr/>
          </xdr:nvGraphicFramePr>
          <xdr:xfrm>
            <a:off x="0" y="0"/>
            <a:ext cx="0" cy="0"/>
          </xdr:xfrm>
          <a:graphic>
            <a:graphicData uri="http://schemas.microsoft.com/office/drawing/2014/chartex">
              <c:chart xmlns:c="http://schemas.openxmlformats.org/drawingml/2006/chart" xmlns:r="http://schemas.openxmlformats.org/officeDocument/2006/relationships" r:id="rId1"/>
            </a:graphicData>
          </a:graphic>
        </xdr:graphicFrame>
      </mc:Choice>
      <mc:Fallback>
        <xdr:sp macro="" textlink="">
          <xdr:nvSpPr>
            <xdr:cNvPr id="0" name=""/>
            <xdr:cNvSpPr>
              <a:spLocks noTextEdit="1"/>
            </xdr:cNvSpPr>
          </xdr:nvSpPr>
          <xdr:spPr>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3</xdr:col>
      <xdr:colOff>352425</xdr:colOff>
      <xdr:row>1</xdr:row>
      <xdr:rowOff>38101</xdr:rowOff>
    </xdr:from>
    <xdr:to>
      <xdr:col>9</xdr:col>
      <xdr:colOff>171451</xdr:colOff>
      <xdr:row>11</xdr:row>
      <xdr:rowOff>9525</xdr:rowOff>
    </xdr:to>
    <mc:AlternateContent xmlns:mc="http://schemas.openxmlformats.org/markup-compatibility/2006">
      <mc:Choice xmlns:cx="http://schemas.microsoft.com/office/drawing/2014/chartex" Requires="cx">
        <xdr:graphicFrame macro="">
          <xdr:nvGraphicFramePr>
            <xdr:cNvPr id="3" name="Chart 2"/>
            <xdr:cNvGraphicFramePr/>
          </xdr:nvGraphicFramePr>
          <xdr:xfrm>
            <a:off x="0" y="0"/>
            <a:ext cx="0" cy="0"/>
          </xdr:xfrm>
          <a:graphic>
            <a:graphicData uri="http://schemas.microsoft.com/office/drawing/2014/chartex">
              <c:chart xmlns:c="http://schemas.openxmlformats.org/drawingml/2006/chart" xmlns:r="http://schemas.openxmlformats.org/officeDocument/2006/relationships" r:id="rId2"/>
            </a:graphicData>
          </a:graphic>
        </xdr:graphicFrame>
      </mc:Choice>
      <mc:Fallback>
        <xdr:sp macro="" textlink="">
          <xdr:nvSpPr>
            <xdr:cNvPr id="0" name=""/>
            <xdr:cNvSpPr>
              <a:spLocks noTextEdit="1"/>
            </xdr:cNvSpPr>
          </xdr:nvSpPr>
          <xdr:spPr>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3</xdr:col>
      <xdr:colOff>285750</xdr:colOff>
      <xdr:row>11</xdr:row>
      <xdr:rowOff>66674</xdr:rowOff>
    </xdr:from>
    <xdr:to>
      <xdr:col>9</xdr:col>
      <xdr:colOff>133350</xdr:colOff>
      <xdr:row>20</xdr:row>
      <xdr:rowOff>161925</xdr:rowOff>
    </xdr:to>
    <mc:AlternateContent xmlns:mc="http://schemas.openxmlformats.org/markup-compatibility/2006">
      <mc:Choice xmlns:cx="http://schemas.microsoft.com/office/drawing/2014/chartex" Requires="cx">
        <xdr:graphicFrame macro="">
          <xdr:nvGraphicFramePr>
            <xdr:cNvPr id="4" name="Chart 3"/>
            <xdr:cNvGraphicFramePr/>
          </xdr:nvGraphicFramePr>
          <xdr:xfrm>
            <a:off x="0" y="0"/>
            <a:ext cx="0" cy="0"/>
          </xdr:xfrm>
          <a:graphic>
            <a:graphicData uri="http://schemas.microsoft.com/office/drawing/2014/chartex">
              <c:chart xmlns:c="http://schemas.openxmlformats.org/drawingml/2006/chart" xmlns:r="http://schemas.openxmlformats.org/officeDocument/2006/relationships" r:id="rId3"/>
            </a:graphicData>
          </a:graphic>
        </xdr:graphicFrame>
      </mc:Choice>
      <mc:Fallback>
        <xdr:sp macro="" textlink="">
          <xdr:nvSpPr>
            <xdr:cNvPr id="0" name=""/>
            <xdr:cNvSpPr>
              <a:spLocks noTextEdit="1"/>
            </xdr:cNvSpPr>
          </xdr:nvSpPr>
          <xdr:spPr>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8.xml><?xml version="1.0" encoding="utf-8"?>
<xdr:wsDr xmlns:xdr="http://schemas.openxmlformats.org/drawingml/2006/spreadsheetDrawing" xmlns:a="http://schemas.openxmlformats.org/drawingml/2006/main">
  <xdr:twoCellAnchor>
    <xdr:from>
      <xdr:col>0</xdr:col>
      <xdr:colOff>0</xdr:colOff>
      <xdr:row>13</xdr:row>
      <xdr:rowOff>180975</xdr:rowOff>
    </xdr:from>
    <xdr:to>
      <xdr:col>2</xdr:col>
      <xdr:colOff>171451</xdr:colOff>
      <xdr:row>23</xdr:row>
      <xdr:rowOff>14287</xdr:rowOff>
    </xdr:to>
    <mc:AlternateContent xmlns:mc="http://schemas.openxmlformats.org/markup-compatibility/2006">
      <mc:Choice xmlns:cx="http://schemas.microsoft.com/office/drawing/2014/chartex" Requires="cx">
        <xdr:graphicFrame macro="">
          <xdr:nvGraphicFramePr>
            <xdr:cNvPr id="2" name="Chart 1"/>
            <xdr:cNvGraphicFramePr/>
          </xdr:nvGraphicFramePr>
          <xdr:xfrm>
            <a:off x="0" y="0"/>
            <a:ext cx="0" cy="0"/>
          </xdr:xfrm>
          <a:graphic>
            <a:graphicData uri="http://schemas.microsoft.com/office/drawing/2014/chartex">
              <c:chart xmlns:c="http://schemas.openxmlformats.org/drawingml/2006/chart" xmlns:r="http://schemas.openxmlformats.org/officeDocument/2006/relationships" r:id="rId1"/>
            </a:graphicData>
          </a:graphic>
        </xdr:graphicFrame>
      </mc:Choice>
      <mc:Fallback>
        <xdr:sp macro="" textlink="">
          <xdr:nvSpPr>
            <xdr:cNvPr id="0" name=""/>
            <xdr:cNvSpPr>
              <a:spLocks noTextEdit="1"/>
            </xdr:cNvSpPr>
          </xdr:nvSpPr>
          <xdr:spPr>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4</xdr:col>
      <xdr:colOff>180975</xdr:colOff>
      <xdr:row>4</xdr:row>
      <xdr:rowOff>161925</xdr:rowOff>
    </xdr:from>
    <xdr:to>
      <xdr:col>7</xdr:col>
      <xdr:colOff>161925</xdr:colOff>
      <xdr:row>11</xdr:row>
      <xdr:rowOff>9525</xdr:rowOff>
    </xdr:to>
    <mc:AlternateContent xmlns:mc="http://schemas.openxmlformats.org/markup-compatibility/2006">
      <mc:Choice xmlns:cx="http://schemas.microsoft.com/office/drawing/2014/chartex" Requires="cx">
        <xdr:graphicFrame macro="">
          <xdr:nvGraphicFramePr>
            <xdr:cNvPr id="3" name="Chart 2"/>
            <xdr:cNvGraphicFramePr/>
          </xdr:nvGraphicFramePr>
          <xdr:xfrm>
            <a:off x="0" y="0"/>
            <a:ext cx="0" cy="0"/>
          </xdr:xfrm>
          <a:graphic>
            <a:graphicData uri="http://schemas.microsoft.com/office/drawing/2014/chartex">
              <c:chart xmlns:c="http://schemas.openxmlformats.org/drawingml/2006/chart" xmlns:r="http://schemas.openxmlformats.org/officeDocument/2006/relationships" r:id="rId2"/>
            </a:graphicData>
          </a:graphic>
        </xdr:graphicFrame>
      </mc:Choice>
      <mc:Fallback>
        <xdr:sp macro="" textlink="">
          <xdr:nvSpPr>
            <xdr:cNvPr id="0" name=""/>
            <xdr:cNvSpPr>
              <a:spLocks noTextEdit="1"/>
            </xdr:cNvSpPr>
          </xdr:nvSpPr>
          <xdr:spPr>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2</xdr:col>
      <xdr:colOff>561975</xdr:colOff>
      <xdr:row>11</xdr:row>
      <xdr:rowOff>9525</xdr:rowOff>
    </xdr:from>
    <xdr:to>
      <xdr:col>8</xdr:col>
      <xdr:colOff>352425</xdr:colOff>
      <xdr:row>22</xdr:row>
      <xdr:rowOff>71437</xdr:rowOff>
    </xdr:to>
    <mc:AlternateContent xmlns:mc="http://schemas.openxmlformats.org/markup-compatibility/2006">
      <mc:Choice xmlns:cx="http://schemas.microsoft.com/office/drawing/2014/chartex" Requires="cx">
        <xdr:graphicFrame macro="">
          <xdr:nvGraphicFramePr>
            <xdr:cNvPr id="4" name="Chart 3"/>
            <xdr:cNvGraphicFramePr/>
          </xdr:nvGraphicFramePr>
          <xdr:xfrm>
            <a:off x="0" y="0"/>
            <a:ext cx="0" cy="0"/>
          </xdr:xfrm>
          <a:graphic>
            <a:graphicData uri="http://schemas.microsoft.com/office/drawing/2014/chartex">
              <c:chart xmlns:c="http://schemas.openxmlformats.org/drawingml/2006/chart" xmlns:r="http://schemas.openxmlformats.org/officeDocument/2006/relationships" r:id="rId3"/>
            </a:graphicData>
          </a:graphic>
        </xdr:graphicFrame>
      </mc:Choice>
      <mc:Fallback>
        <xdr:sp macro="" textlink="">
          <xdr:nvSpPr>
            <xdr:cNvPr id="0" name=""/>
            <xdr:cNvSpPr>
              <a:spLocks noTextEdit="1"/>
            </xdr:cNvSpPr>
          </xdr:nvSpPr>
          <xdr:spPr>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9.xml><?xml version="1.0" encoding="utf-8"?>
<xdr:wsDr xmlns:xdr="http://schemas.openxmlformats.org/drawingml/2006/spreadsheetDrawing" xmlns:a="http://schemas.openxmlformats.org/drawingml/2006/main">
  <xdr:twoCellAnchor>
    <xdr:from>
      <xdr:col>0</xdr:col>
      <xdr:colOff>6</xdr:colOff>
      <xdr:row>3</xdr:row>
      <xdr:rowOff>166687</xdr:rowOff>
    </xdr:from>
    <xdr:to>
      <xdr:col>6</xdr:col>
      <xdr:colOff>419106</xdr:colOff>
      <xdr:row>18</xdr:row>
      <xdr:rowOff>52387</xdr:rowOff>
    </xdr:to>
    <xdr:graphicFrame macro="">
      <xdr:nvGraphicFramePr>
        <xdr:cNvPr id="2" name="Teritory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0.xml><?xml version="1.0" encoding="utf-8"?>
<xdr:wsDr xmlns:xdr="http://schemas.openxmlformats.org/drawingml/2006/spreadsheetDrawing" xmlns:a="http://schemas.openxmlformats.org/drawingml/2006/main">
  <xdr:twoCellAnchor>
    <xdr:from>
      <xdr:col>0</xdr:col>
      <xdr:colOff>0</xdr:colOff>
      <xdr:row>2</xdr:row>
      <xdr:rowOff>61912</xdr:rowOff>
    </xdr:from>
    <xdr:to>
      <xdr:col>6</xdr:col>
      <xdr:colOff>419100</xdr:colOff>
      <xdr:row>16</xdr:row>
      <xdr:rowOff>138112</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1.xml><?xml version="1.0" encoding="utf-8"?>
<xdr:wsDr xmlns:xdr="http://schemas.openxmlformats.org/drawingml/2006/spreadsheetDrawing" xmlns:a="http://schemas.openxmlformats.org/drawingml/2006/main">
  <xdr:twoCellAnchor>
    <xdr:from>
      <xdr:col>3</xdr:col>
      <xdr:colOff>390526</xdr:colOff>
      <xdr:row>1</xdr:row>
      <xdr:rowOff>47625</xdr:rowOff>
    </xdr:from>
    <xdr:to>
      <xdr:col>7</xdr:col>
      <xdr:colOff>514350</xdr:colOff>
      <xdr:row>10</xdr:row>
      <xdr:rowOff>152400</xdr:rowOff>
    </xdr:to>
    <xdr:graphicFrame macro="">
      <xdr:nvGraphicFramePr>
        <xdr:cNvPr id="2" name="state"/>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66675</xdr:colOff>
      <xdr:row>11</xdr:row>
      <xdr:rowOff>47626</xdr:rowOff>
    </xdr:from>
    <xdr:to>
      <xdr:col>7</xdr:col>
      <xdr:colOff>542925</xdr:colOff>
      <xdr:row>25</xdr:row>
      <xdr:rowOff>95250</xdr:rowOff>
    </xdr:to>
    <xdr:graphicFrame macro="">
      <xdr:nvGraphicFramePr>
        <xdr:cNvPr id="3" name="Chart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47624</xdr:colOff>
      <xdr:row>1</xdr:row>
      <xdr:rowOff>47625</xdr:rowOff>
    </xdr:from>
    <xdr:to>
      <xdr:col>3</xdr:col>
      <xdr:colOff>342899</xdr:colOff>
      <xdr:row>10</xdr:row>
      <xdr:rowOff>152400</xdr:rowOff>
    </xdr:to>
    <xdr:graphicFrame macro="">
      <xdr:nvGraphicFramePr>
        <xdr:cNvPr id="4" name="Teritory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7</xdr:col>
      <xdr:colOff>600075</xdr:colOff>
      <xdr:row>1</xdr:row>
      <xdr:rowOff>28572</xdr:rowOff>
    </xdr:from>
    <xdr:to>
      <xdr:col>10</xdr:col>
      <xdr:colOff>600075</xdr:colOff>
      <xdr:row>15</xdr:row>
      <xdr:rowOff>57150</xdr:rowOff>
    </xdr:to>
    <mc:AlternateContent xmlns:mc="http://schemas.openxmlformats.org/markup-compatibility/2006">
      <mc:Choice xmlns:a14="http://schemas.microsoft.com/office/drawing/2010/main" Requires="a14">
        <xdr:graphicFrame macro="">
          <xdr:nvGraphicFramePr>
            <xdr:cNvPr id="6" name="State"/>
            <xdr:cNvGraphicFramePr/>
          </xdr:nvGraphicFramePr>
          <xdr:xfrm>
            <a:off x="0" y="0"/>
            <a:ext cx="0" cy="0"/>
          </xdr:xfrm>
          <a:graphic>
            <a:graphicData uri="http://schemas.microsoft.com/office/drawing/2010/slicer">
              <sle:slicer xmlns:sle="http://schemas.microsoft.com/office/drawing/2010/slicer" name="State"/>
            </a:graphicData>
          </a:graphic>
        </xdr:graphicFrame>
      </mc:Choice>
      <mc:Fallback>
        <xdr:sp macro="" textlink="">
          <xdr:nvSpPr>
            <xdr:cNvPr id="0" name=""/>
            <xdr:cNvSpPr>
              <a:spLocks noTextEdit="1"/>
            </xdr:cNvSpPr>
          </xdr:nvSpPr>
          <xdr:spPr>
            <a:xfrm>
              <a:off x="4867275" y="495297"/>
              <a:ext cx="1828800" cy="2695578"/>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7</xdr:col>
      <xdr:colOff>600075</xdr:colOff>
      <xdr:row>15</xdr:row>
      <xdr:rowOff>104774</xdr:rowOff>
    </xdr:from>
    <xdr:to>
      <xdr:col>10</xdr:col>
      <xdr:colOff>600075</xdr:colOff>
      <xdr:row>25</xdr:row>
      <xdr:rowOff>123825</xdr:rowOff>
    </xdr:to>
    <mc:AlternateContent xmlns:mc="http://schemas.openxmlformats.org/markup-compatibility/2006">
      <mc:Choice xmlns:a14="http://schemas.microsoft.com/office/drawing/2010/main" Requires="a14">
        <xdr:graphicFrame macro="">
          <xdr:nvGraphicFramePr>
            <xdr:cNvPr id="7" name="Teritory"/>
            <xdr:cNvGraphicFramePr/>
          </xdr:nvGraphicFramePr>
          <xdr:xfrm>
            <a:off x="0" y="0"/>
            <a:ext cx="0" cy="0"/>
          </xdr:xfrm>
          <a:graphic>
            <a:graphicData uri="http://schemas.microsoft.com/office/drawing/2010/slicer">
              <sle:slicer xmlns:sle="http://schemas.microsoft.com/office/drawing/2010/slicer" name="Teritory"/>
            </a:graphicData>
          </a:graphic>
        </xdr:graphicFrame>
      </mc:Choice>
      <mc:Fallback>
        <xdr:sp macro="" textlink="">
          <xdr:nvSpPr>
            <xdr:cNvPr id="0" name=""/>
            <xdr:cNvSpPr>
              <a:spLocks noTextEdit="1"/>
            </xdr:cNvSpPr>
          </xdr:nvSpPr>
          <xdr:spPr>
            <a:xfrm>
              <a:off x="4867275" y="3238499"/>
              <a:ext cx="1828800" cy="192405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12.xml><?xml version="1.0" encoding="utf-8"?>
<xdr:wsDr xmlns:xdr="http://schemas.openxmlformats.org/drawingml/2006/spreadsheetDrawing" xmlns:a="http://schemas.openxmlformats.org/drawingml/2006/main">
  <xdr:twoCellAnchor>
    <xdr:from>
      <xdr:col>0</xdr:col>
      <xdr:colOff>6</xdr:colOff>
      <xdr:row>3</xdr:row>
      <xdr:rowOff>166687</xdr:rowOff>
    </xdr:from>
    <xdr:to>
      <xdr:col>6</xdr:col>
      <xdr:colOff>419106</xdr:colOff>
      <xdr:row>18</xdr:row>
      <xdr:rowOff>52387</xdr:rowOff>
    </xdr:to>
    <xdr:graphicFrame macro="">
      <xdr:nvGraphicFramePr>
        <xdr:cNvPr id="3" name="state"/>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3.xml><?xml version="1.0" encoding="utf-8"?>
<xdr:wsDr xmlns:xdr="http://schemas.openxmlformats.org/drawingml/2006/spreadsheetDrawing" xmlns:a="http://schemas.openxmlformats.org/drawingml/2006/main">
  <xdr:twoCellAnchor>
    <xdr:from>
      <xdr:col>1</xdr:col>
      <xdr:colOff>476250</xdr:colOff>
      <xdr:row>3</xdr:row>
      <xdr:rowOff>166687</xdr:rowOff>
    </xdr:from>
    <xdr:to>
      <xdr:col>5</xdr:col>
      <xdr:colOff>485775</xdr:colOff>
      <xdr:row>19</xdr:row>
      <xdr:rowOff>52387</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2" Type="http://schemas.microsoft.com/office/2006/relationships/xlExternalLinkPath/xlPathMissing" Target="data1.xlsx" TargetMode="External"/><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r:id="rId1" refreshedBy="Jubril yusuf Danjuma" refreshedDate="45154.027072453704" createdVersion="6" refreshedVersion="6" minRefreshableVersion="3" recordCount="18">
  <cacheSource type="worksheet">
    <worksheetSource ref="A1:I19" sheet="Sheet8" r:id="rId2"/>
  </cacheSource>
  <cacheFields count="8">
    <cacheField name="Area Code" numFmtId="1">
      <sharedItems containsSemiMixedTypes="0" containsString="0" containsNumber="1" containsInteger="1" minValue="103" maxValue="120"/>
    </cacheField>
    <cacheField name="Product" numFmtId="49">
      <sharedItems count="10">
        <s v="amareno"/>
        <s v="beans"/>
        <s v="bread"/>
        <s v="coke"/>
        <s v="colombian"/>
        <s v="cream"/>
        <s v="expresso"/>
        <s v="fanta"/>
        <s v="rice"/>
        <s v="yam"/>
      </sharedItems>
    </cacheField>
    <cacheField name="Product Type" numFmtId="49">
      <sharedItems count="8">
        <s v="coffee"/>
        <s v="protein"/>
        <s v="starch"/>
        <s v="drink"/>
        <s v="expresso"/>
        <s v="red"/>
        <s v="grains"/>
        <s v="energy"/>
      </sharedItems>
    </cacheField>
    <cacheField name="State" numFmtId="49">
      <sharedItems/>
    </cacheField>
    <cacheField name="Teritory" numFmtId="49">
      <sharedItems count="4">
        <s v="central"/>
        <s v="east"/>
        <s v="west"/>
        <s v="south"/>
      </sharedItems>
    </cacheField>
    <cacheField name="Target Profit" numFmtId="167">
      <sharedItems containsSemiMixedTypes="0" containsString="0" containsNumber="1" containsInteger="1" minValue="5" maxValue="200"/>
    </cacheField>
    <cacheField name="Profit" numFmtId="167">
      <sharedItems containsSemiMixedTypes="0" containsString="0" containsNumber="1" containsInteger="1" minValue="0" maxValue="117" count="17">
        <n v="101"/>
        <n v="53"/>
        <n v="10"/>
        <n v="45"/>
        <n v="67"/>
        <n v="12"/>
        <n v="50"/>
        <n v="54"/>
        <n v="111"/>
        <n v="87"/>
        <n v="0"/>
        <n v="68"/>
        <n v="117"/>
        <n v="16"/>
        <n v="78"/>
        <n v="69"/>
        <n v="89"/>
      </sharedItems>
    </cacheField>
    <cacheField name="Marked Price" numFmtId="167">
      <sharedItems containsSemiMixedTypes="0" containsString="0" containsNumber="1" containsInteger="1" minValue="7" maxValue="546"/>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r:id="rId1" refreshedBy="Jubril yusuf Danjuma" refreshedDate="45154.470864583331" createdVersion="6" refreshedVersion="6" minRefreshableVersion="3" recordCount="18">
  <cacheSource type="worksheet">
    <worksheetSource name="DATE_TABLE"/>
  </cacheSource>
  <cacheFields count="16">
    <cacheField name="Area Code" numFmtId="1">
      <sharedItems containsSemiMixedTypes="0" containsString="0" containsNumber="1" containsInteger="1" minValue="103" maxValue="120"/>
    </cacheField>
    <cacheField name="Product" numFmtId="49">
      <sharedItems count="10">
        <s v="amareno"/>
        <s v="beans"/>
        <s v="bread"/>
        <s v="coke"/>
        <s v="colombian"/>
        <s v="cream"/>
        <s v="expresso"/>
        <s v="fanta"/>
        <s v="rice"/>
        <s v="yam"/>
      </sharedItems>
    </cacheField>
    <cacheField name="Product Type" numFmtId="49">
      <sharedItems count="8">
        <s v="coffee"/>
        <s v="protein"/>
        <s v="starch"/>
        <s v="drink"/>
        <s v="expresso"/>
        <s v="red"/>
        <s v="grains"/>
        <s v="energy"/>
      </sharedItems>
    </cacheField>
    <cacheField name="State" numFmtId="49">
      <sharedItems count="6">
        <s v="colorado"/>
        <s v="ilinois"/>
        <s v="florida"/>
        <s v="california"/>
        <s v="texas"/>
        <s v="ohio"/>
      </sharedItems>
    </cacheField>
    <cacheField name="Teritory" numFmtId="49">
      <sharedItems count="4">
        <s v="central"/>
        <s v="east"/>
        <s v="west"/>
        <s v="south"/>
      </sharedItems>
    </cacheField>
    <cacheField name="Target Profit" numFmtId="167">
      <sharedItems containsSemiMixedTypes="0" containsString="0" containsNumber="1" containsInteger="1" minValue="5" maxValue="200"/>
    </cacheField>
    <cacheField name="Profit" numFmtId="167">
      <sharedItems containsSemiMixedTypes="0" containsString="0" containsNumber="1" containsInteger="1" minValue="0" maxValue="117" count="17">
        <n v="101"/>
        <n v="53"/>
        <n v="10"/>
        <n v="45"/>
        <n v="67"/>
        <n v="12"/>
        <n v="50"/>
        <n v="54"/>
        <n v="111"/>
        <n v="87"/>
        <n v="0"/>
        <n v="68"/>
        <n v="117"/>
        <n v="16"/>
        <n v="78"/>
        <n v="69"/>
        <n v="89"/>
      </sharedItems>
    </cacheField>
    <cacheField name="Marked Price" numFmtId="167">
      <sharedItems containsSemiMixedTypes="0" containsString="0" containsNumber="1" containsInteger="1" minValue="7" maxValue="546"/>
    </cacheField>
    <cacheField name="Date" numFmtId="14">
      <sharedItems containsSemiMixedTypes="0" containsNonDate="0" containsDate="1" containsString="0" minDate="2021-01-07T00:00:00" maxDate="2022-03-05T00:00:00" count="4">
        <d v="2021-01-07T00:00:00"/>
        <d v="2021-02-03T00:00:00"/>
        <d v="2022-03-04T00:00:00"/>
        <d v="2021-05-05T00:00:00"/>
      </sharedItems>
      <fieldGroup par="15" base="8">
        <rangePr groupBy="months" startDate="2021-01-07T00:00:00" endDate="2022-03-05T00:00:00"/>
        <groupItems count="14">
          <s v="&lt;1/7/2021"/>
          <s v="Jan"/>
          <s v="Feb"/>
          <s v="Mar"/>
          <s v="Apr"/>
          <s v="May"/>
          <s v="Jun"/>
          <s v="Jul"/>
          <s v="Aug"/>
          <s v="Sep"/>
          <s v="Oct"/>
          <s v="Nov"/>
          <s v="Dec"/>
          <s v="&gt;3/5/2022"/>
        </groupItems>
      </fieldGroup>
    </cacheField>
    <cacheField name="DIFFERENCES" numFmtId="0" formula=" (Profit-'Target Profit')" databaseField="0"/>
    <cacheField name="percentage difference" numFmtId="0" formula="(Profit-'Target Profit')/Profit" databaseField="0"/>
    <cacheField name="Field1" numFmtId="0" formula=" 0" databaseField="0"/>
    <cacheField name="Field2" numFmtId="0" formula="Profit-'Marked Price'" databaseField="0"/>
    <cacheField name="percentage" numFmtId="0" formula="(Profit-'Target Profit')/Profit" databaseField="0"/>
    <cacheField name="Quarters" numFmtId="0" databaseField="0">
      <fieldGroup base="8">
        <rangePr groupBy="quarters" startDate="2021-01-07T00:00:00" endDate="2022-03-05T00:00:00"/>
        <groupItems count="6">
          <s v="&lt;1/7/2021"/>
          <s v="Qtr1"/>
          <s v="Qtr2"/>
          <s v="Qtr3"/>
          <s v="Qtr4"/>
          <s v="&gt;3/5/2022"/>
        </groupItems>
      </fieldGroup>
    </cacheField>
    <cacheField name="Years" numFmtId="0" databaseField="0">
      <fieldGroup base="8">
        <rangePr groupBy="years" startDate="2021-01-07T00:00:00" endDate="2022-03-05T00:00:00"/>
        <groupItems count="4">
          <s v="&lt;1/7/2021"/>
          <s v="2021"/>
          <s v="2022"/>
          <s v="&gt;3/5/2022"/>
        </groupItems>
      </fieldGroup>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count="18">
  <r>
    <n v="103"/>
    <x v="0"/>
    <x v="0"/>
    <s v="colorado"/>
    <x v="0"/>
    <n v="110"/>
    <x v="0"/>
    <n v="234"/>
  </r>
  <r>
    <n v="109"/>
    <x v="0"/>
    <x v="0"/>
    <s v="colorado"/>
    <x v="0"/>
    <n v="80"/>
    <x v="1"/>
    <n v="180"/>
  </r>
  <r>
    <n v="110"/>
    <x v="0"/>
    <x v="0"/>
    <s v="ilinois"/>
    <x v="0"/>
    <n v="180"/>
    <x v="2"/>
    <n v="456"/>
  </r>
  <r>
    <n v="118"/>
    <x v="1"/>
    <x v="1"/>
    <s v="florida"/>
    <x v="1"/>
    <n v="34"/>
    <x v="3"/>
    <n v="34"/>
  </r>
  <r>
    <n v="120"/>
    <x v="2"/>
    <x v="2"/>
    <s v="california"/>
    <x v="2"/>
    <n v="67"/>
    <x v="4"/>
    <n v="34"/>
  </r>
  <r>
    <n v="115"/>
    <x v="3"/>
    <x v="3"/>
    <s v="colorado"/>
    <x v="0"/>
    <n v="6"/>
    <x v="5"/>
    <n v="7"/>
  </r>
  <r>
    <n v="112"/>
    <x v="4"/>
    <x v="0"/>
    <s v="florida"/>
    <x v="1"/>
    <n v="200"/>
    <x v="6"/>
    <n v="13"/>
  </r>
  <r>
    <n v="113"/>
    <x v="4"/>
    <x v="0"/>
    <s v="texas"/>
    <x v="3"/>
    <n v="130"/>
    <x v="7"/>
    <n v="546"/>
  </r>
  <r>
    <n v="114"/>
    <x v="4"/>
    <x v="0"/>
    <s v="california"/>
    <x v="2"/>
    <n v="68"/>
    <x v="8"/>
    <n v="210"/>
  </r>
  <r>
    <n v="104"/>
    <x v="5"/>
    <x v="0"/>
    <s v="ilinois"/>
    <x v="0"/>
    <n v="100"/>
    <x v="9"/>
    <n v="234"/>
  </r>
  <r>
    <n v="105"/>
    <x v="5"/>
    <x v="0"/>
    <s v="ohio"/>
    <x v="0"/>
    <n v="20"/>
    <x v="10"/>
    <n v="150"/>
  </r>
  <r>
    <n v="106"/>
    <x v="6"/>
    <x v="4"/>
    <s v="florida"/>
    <x v="1"/>
    <n v="70"/>
    <x v="4"/>
    <n v="200"/>
  </r>
  <r>
    <n v="107"/>
    <x v="6"/>
    <x v="4"/>
    <s v="texas"/>
    <x v="3"/>
    <n v="100"/>
    <x v="11"/>
    <n v="190"/>
  </r>
  <r>
    <n v="108"/>
    <x v="6"/>
    <x v="4"/>
    <s v="california"/>
    <x v="2"/>
    <n v="120"/>
    <x v="12"/>
    <n v="118"/>
  </r>
  <r>
    <n v="111"/>
    <x v="6"/>
    <x v="4"/>
    <s v="ohio"/>
    <x v="0"/>
    <n v="40"/>
    <x v="13"/>
    <n v="130"/>
  </r>
  <r>
    <n v="116"/>
    <x v="7"/>
    <x v="5"/>
    <s v="ilinois"/>
    <x v="0"/>
    <n v="5"/>
    <x v="14"/>
    <n v="8"/>
  </r>
  <r>
    <n v="117"/>
    <x v="8"/>
    <x v="6"/>
    <s v="ohio"/>
    <x v="0"/>
    <n v="12"/>
    <x v="15"/>
    <n v="89"/>
  </r>
  <r>
    <n v="119"/>
    <x v="9"/>
    <x v="7"/>
    <s v="texas"/>
    <x v="3"/>
    <n v="16"/>
    <x v="16"/>
    <n v="78"/>
  </r>
</pivotCacheRecords>
</file>

<file path=xl/pivotCache/pivotCacheRecords2.xml><?xml version="1.0" encoding="utf-8"?>
<pivotCacheRecords xmlns="http://schemas.openxmlformats.org/spreadsheetml/2006/main" xmlns:r="http://schemas.openxmlformats.org/officeDocument/2006/relationships" count="18">
  <r>
    <n v="103"/>
    <x v="0"/>
    <x v="0"/>
    <x v="0"/>
    <x v="0"/>
    <n v="110"/>
    <x v="0"/>
    <n v="234"/>
    <x v="0"/>
  </r>
  <r>
    <n v="109"/>
    <x v="0"/>
    <x v="0"/>
    <x v="0"/>
    <x v="0"/>
    <n v="80"/>
    <x v="1"/>
    <n v="180"/>
    <x v="1"/>
  </r>
  <r>
    <n v="110"/>
    <x v="0"/>
    <x v="0"/>
    <x v="1"/>
    <x v="0"/>
    <n v="180"/>
    <x v="2"/>
    <n v="456"/>
    <x v="2"/>
  </r>
  <r>
    <n v="118"/>
    <x v="1"/>
    <x v="1"/>
    <x v="2"/>
    <x v="1"/>
    <n v="34"/>
    <x v="3"/>
    <n v="34"/>
    <x v="3"/>
  </r>
  <r>
    <n v="120"/>
    <x v="2"/>
    <x v="2"/>
    <x v="3"/>
    <x v="2"/>
    <n v="67"/>
    <x v="4"/>
    <n v="34"/>
    <x v="0"/>
  </r>
  <r>
    <n v="115"/>
    <x v="3"/>
    <x v="3"/>
    <x v="0"/>
    <x v="0"/>
    <n v="6"/>
    <x v="5"/>
    <n v="7"/>
    <x v="1"/>
  </r>
  <r>
    <n v="112"/>
    <x v="4"/>
    <x v="0"/>
    <x v="2"/>
    <x v="1"/>
    <n v="200"/>
    <x v="6"/>
    <n v="13"/>
    <x v="2"/>
  </r>
  <r>
    <n v="113"/>
    <x v="4"/>
    <x v="0"/>
    <x v="4"/>
    <x v="3"/>
    <n v="130"/>
    <x v="7"/>
    <n v="546"/>
    <x v="3"/>
  </r>
  <r>
    <n v="114"/>
    <x v="4"/>
    <x v="0"/>
    <x v="3"/>
    <x v="2"/>
    <n v="68"/>
    <x v="8"/>
    <n v="210"/>
    <x v="0"/>
  </r>
  <r>
    <n v="104"/>
    <x v="5"/>
    <x v="0"/>
    <x v="1"/>
    <x v="0"/>
    <n v="100"/>
    <x v="9"/>
    <n v="234"/>
    <x v="1"/>
  </r>
  <r>
    <n v="105"/>
    <x v="5"/>
    <x v="0"/>
    <x v="5"/>
    <x v="0"/>
    <n v="20"/>
    <x v="10"/>
    <n v="150"/>
    <x v="2"/>
  </r>
  <r>
    <n v="106"/>
    <x v="6"/>
    <x v="4"/>
    <x v="2"/>
    <x v="1"/>
    <n v="70"/>
    <x v="4"/>
    <n v="200"/>
    <x v="3"/>
  </r>
  <r>
    <n v="107"/>
    <x v="6"/>
    <x v="4"/>
    <x v="4"/>
    <x v="3"/>
    <n v="100"/>
    <x v="11"/>
    <n v="190"/>
    <x v="0"/>
  </r>
  <r>
    <n v="108"/>
    <x v="6"/>
    <x v="4"/>
    <x v="3"/>
    <x v="2"/>
    <n v="120"/>
    <x v="12"/>
    <n v="118"/>
    <x v="1"/>
  </r>
  <r>
    <n v="111"/>
    <x v="6"/>
    <x v="4"/>
    <x v="5"/>
    <x v="0"/>
    <n v="40"/>
    <x v="13"/>
    <n v="130"/>
    <x v="2"/>
  </r>
  <r>
    <n v="116"/>
    <x v="7"/>
    <x v="5"/>
    <x v="1"/>
    <x v="0"/>
    <n v="5"/>
    <x v="14"/>
    <n v="8"/>
    <x v="3"/>
  </r>
  <r>
    <n v="117"/>
    <x v="8"/>
    <x v="6"/>
    <x v="5"/>
    <x v="0"/>
    <n v="12"/>
    <x v="15"/>
    <n v="89"/>
    <x v="0"/>
  </r>
  <r>
    <n v="119"/>
    <x v="9"/>
    <x v="7"/>
    <x v="4"/>
    <x v="3"/>
    <n v="16"/>
    <x v="16"/>
    <n v="78"/>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name="PivotTable1" cacheId="0" applyNumberFormats="0" applyBorderFormats="0" applyFontFormats="0" applyPatternFormats="0" applyAlignmentFormats="0" applyWidthHeightFormats="1" dataCaption="Values" updatedVersion="6" minRefreshableVersion="3" useAutoFormatting="1" colGrandTotals="0" itemPrintTitles="1" createdVersion="6" indent="0" outline="1" outlineData="1" multipleFieldFilters="0">
  <location ref="A3:D30" firstHeaderRow="0" firstDataRow="1" firstDataCol="1"/>
  <pivotFields count="8">
    <pivotField numFmtId="1" subtotalTop="0" showAll="0" insertBlankRow="1" defaultSubtotal="0"/>
    <pivotField axis="axisRow" subtotalTop="0" showAll="0" insertBlankRow="1" defaultSubtotal="0">
      <items count="10">
        <item x="0"/>
        <item x="1"/>
        <item x="2"/>
        <item x="3"/>
        <item x="4"/>
        <item x="5"/>
        <item x="6"/>
        <item x="7"/>
        <item x="8"/>
        <item x="9"/>
      </items>
    </pivotField>
    <pivotField axis="axisRow" subtotalTop="0" showAll="0" insertBlankRow="1" defaultSubtotal="0">
      <items count="8">
        <item x="0"/>
        <item x="3"/>
        <item x="7"/>
        <item x="4"/>
        <item x="6"/>
        <item x="1"/>
        <item x="5"/>
        <item x="2"/>
      </items>
    </pivotField>
    <pivotField subtotalTop="0" showAll="0" insertBlankRow="1" defaultSubtotal="0"/>
    <pivotField subtotalTop="0" showAll="0" insertBlankRow="1" defaultSubtotal="0">
      <items count="4">
        <item x="0"/>
        <item x="1"/>
        <item x="3"/>
        <item x="2"/>
      </items>
    </pivotField>
    <pivotField dataField="1" numFmtId="167" subtotalTop="0" showAll="0" insertBlankRow="1" defaultSubtotal="0"/>
    <pivotField dataField="1" numFmtId="167" subtotalTop="0" showAll="0" insertBlankRow="1" defaultSubtotal="0">
      <items count="17">
        <item x="10"/>
        <item x="2"/>
        <item x="5"/>
        <item x="13"/>
        <item x="3"/>
        <item x="6"/>
        <item x="1"/>
        <item x="7"/>
        <item x="4"/>
        <item x="11"/>
        <item x="15"/>
        <item x="14"/>
        <item x="9"/>
        <item x="16"/>
        <item x="0"/>
        <item x="8"/>
        <item x="12"/>
      </items>
    </pivotField>
    <pivotField dataField="1" numFmtId="167" subtotalTop="0" showAll="0" insertBlankRow="1" defaultSubtotal="0"/>
  </pivotFields>
  <rowFields count="2">
    <field x="2"/>
    <field x="1"/>
  </rowFields>
  <rowItems count="27">
    <i>
      <x/>
    </i>
    <i r="1">
      <x/>
    </i>
    <i r="1">
      <x v="4"/>
    </i>
    <i r="1">
      <x v="5"/>
    </i>
    <i t="blank">
      <x/>
    </i>
    <i>
      <x v="1"/>
    </i>
    <i r="1">
      <x v="3"/>
    </i>
    <i t="blank">
      <x v="1"/>
    </i>
    <i>
      <x v="2"/>
    </i>
    <i r="1">
      <x v="9"/>
    </i>
    <i t="blank">
      <x v="2"/>
    </i>
    <i>
      <x v="3"/>
    </i>
    <i r="1">
      <x v="6"/>
    </i>
    <i t="blank">
      <x v="3"/>
    </i>
    <i>
      <x v="4"/>
    </i>
    <i r="1">
      <x v="8"/>
    </i>
    <i t="blank">
      <x v="4"/>
    </i>
    <i>
      <x v="5"/>
    </i>
    <i r="1">
      <x v="1"/>
    </i>
    <i t="blank">
      <x v="5"/>
    </i>
    <i>
      <x v="6"/>
    </i>
    <i r="1">
      <x v="7"/>
    </i>
    <i t="blank">
      <x v="6"/>
    </i>
    <i>
      <x v="7"/>
    </i>
    <i r="1">
      <x v="2"/>
    </i>
    <i t="blank">
      <x v="7"/>
    </i>
    <i t="grand">
      <x/>
    </i>
  </rowItems>
  <colFields count="1">
    <field x="-2"/>
  </colFields>
  <colItems count="3">
    <i>
      <x/>
    </i>
    <i i="1">
      <x v="1"/>
    </i>
    <i i="2">
      <x v="2"/>
    </i>
  </colItems>
  <dataFields count="3">
    <dataField name="Sum of Profit" fld="6" baseField="1" baseItem="4" numFmtId="165"/>
    <dataField name="Sum of Marked Price" fld="7" baseField="1" baseItem="4" numFmtId="165"/>
    <dataField name="Sum of Target Profit" fld="5" baseField="0" baseItem="0"/>
  </dataFields>
  <formats count="5">
    <format dxfId="115">
      <pivotArea outline="0" collapsedLevelsAreSubtotals="1" fieldPosition="0"/>
    </format>
    <format dxfId="114">
      <pivotArea dataOnly="0" labelOnly="1" outline="0" axis="axisValues" fieldPosition="0"/>
    </format>
    <format dxfId="113">
      <pivotArea dataOnly="0" labelOnly="1" outline="0" axis="axisValues" fieldPosition="0"/>
    </format>
    <format dxfId="112">
      <pivotArea outline="0" fieldPosition="0">
        <references count="1">
          <reference field="4294967294" count="1">
            <x v="0"/>
          </reference>
        </references>
      </pivotArea>
    </format>
    <format dxfId="111">
      <pivotArea outline="0" fieldPosition="0">
        <references count="1">
          <reference field="4294967294" count="1">
            <x v="1"/>
          </reference>
        </references>
      </pivotArea>
    </format>
  </formats>
  <pivotTableStyleInfo name="PivotStyleMedium10"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1"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E14" firstHeaderRow="0" firstDataRow="1" firstDataCol="1"/>
  <pivotFields count="8">
    <pivotField numFmtId="1" showAll="0"/>
    <pivotField axis="axisRow" showAll="0">
      <items count="11">
        <item x="0"/>
        <item x="1"/>
        <item x="2"/>
        <item x="3"/>
        <item x="4"/>
        <item x="5"/>
        <item x="6"/>
        <item x="7"/>
        <item x="8"/>
        <item x="9"/>
        <item t="default"/>
      </items>
    </pivotField>
    <pivotField showAll="0"/>
    <pivotField showAll="0"/>
    <pivotField showAll="0"/>
    <pivotField numFmtId="167" showAll="0"/>
    <pivotField dataField="1" numFmtId="167" showAll="0"/>
    <pivotField numFmtId="167" showAll="0"/>
  </pivotFields>
  <rowFields count="1">
    <field x="1"/>
  </rowFields>
  <rowItems count="11">
    <i>
      <x/>
    </i>
    <i>
      <x v="1"/>
    </i>
    <i>
      <x v="2"/>
    </i>
    <i>
      <x v="3"/>
    </i>
    <i>
      <x v="4"/>
    </i>
    <i>
      <x v="5"/>
    </i>
    <i>
      <x v="6"/>
    </i>
    <i>
      <x v="7"/>
    </i>
    <i>
      <x v="8"/>
    </i>
    <i>
      <x v="9"/>
    </i>
    <i t="grand">
      <x/>
    </i>
  </rowItems>
  <colFields count="1">
    <field x="-2"/>
  </colFields>
  <colItems count="4">
    <i>
      <x/>
    </i>
    <i i="1">
      <x v="1"/>
    </i>
    <i i="2">
      <x v="2"/>
    </i>
    <i i="3">
      <x v="3"/>
    </i>
  </colItems>
  <dataFields count="4">
    <dataField name="Sum of Profit" fld="6" baseField="0" baseItem="0"/>
    <dataField name="Average of Profit" fld="6" subtotal="average" baseField="1" baseItem="0" numFmtId="165"/>
    <dataField name="Max Profit" fld="6" subtotal="max" baseField="1" baseItem="0"/>
    <dataField name="Min of Profit" fld="6" subtotal="min" baseField="1" baseItem="0" numFmtId="165"/>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PivotTable5" cacheId="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L14" firstHeaderRow="1" firstDataRow="2" firstDataCol="1"/>
  <pivotFields count="16">
    <pivotField numFmtId="1" showAll="0"/>
    <pivotField axis="axisCol" showAll="0">
      <items count="11">
        <item x="0"/>
        <item x="1"/>
        <item x="2"/>
        <item x="3"/>
        <item x="4"/>
        <item x="5"/>
        <item x="6"/>
        <item x="7"/>
        <item x="8"/>
        <item x="9"/>
        <item t="default"/>
      </items>
    </pivotField>
    <pivotField showAll="0"/>
    <pivotField showAll="0">
      <items count="7">
        <item x="3"/>
        <item x="0"/>
        <item x="2"/>
        <item x="1"/>
        <item x="5"/>
        <item x="4"/>
        <item t="default"/>
      </items>
    </pivotField>
    <pivotField showAll="0"/>
    <pivotField numFmtId="167" showAll="0"/>
    <pivotField dataField="1" numFmtId="167" showAll="0"/>
    <pivotField numFmtId="167" showAll="0"/>
    <pivotField axis="axisRow" numFmtId="14" showAll="0">
      <items count="15">
        <item x="0"/>
        <item x="1"/>
        <item x="2"/>
        <item x="3"/>
        <item x="4"/>
        <item x="5"/>
        <item x="6"/>
        <item x="7"/>
        <item x="8"/>
        <item x="9"/>
        <item x="10"/>
        <item x="11"/>
        <item x="12"/>
        <item x="13"/>
        <item t="default"/>
      </items>
    </pivotField>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axis="axisRow" showAll="0" defaultSubtotal="0">
      <items count="6">
        <item x="0"/>
        <item x="1"/>
        <item x="2"/>
        <item x="3"/>
        <item x="4"/>
        <item x="5"/>
      </items>
    </pivotField>
    <pivotField axis="axisRow" showAll="0" defaultSubtotal="0">
      <items count="4">
        <item x="0"/>
        <item x="1"/>
        <item x="2"/>
        <item x="3"/>
      </items>
    </pivotField>
  </pivotFields>
  <rowFields count="3">
    <field x="15"/>
    <field x="14"/>
    <field x="8"/>
  </rowFields>
  <rowItems count="10">
    <i>
      <x v="1"/>
    </i>
    <i r="1">
      <x v="1"/>
    </i>
    <i r="2">
      <x v="1"/>
    </i>
    <i r="2">
      <x v="2"/>
    </i>
    <i r="1">
      <x v="2"/>
    </i>
    <i r="2">
      <x v="5"/>
    </i>
    <i>
      <x v="2"/>
    </i>
    <i r="1">
      <x v="1"/>
    </i>
    <i r="2">
      <x v="3"/>
    </i>
    <i t="grand">
      <x/>
    </i>
  </rowItems>
  <colFields count="1">
    <field x="1"/>
  </colFields>
  <colItems count="11">
    <i>
      <x/>
    </i>
    <i>
      <x v="1"/>
    </i>
    <i>
      <x v="2"/>
    </i>
    <i>
      <x v="3"/>
    </i>
    <i>
      <x v="4"/>
    </i>
    <i>
      <x v="5"/>
    </i>
    <i>
      <x v="6"/>
    </i>
    <i>
      <x v="7"/>
    </i>
    <i>
      <x v="8"/>
    </i>
    <i>
      <x v="9"/>
    </i>
    <i t="grand">
      <x/>
    </i>
  </colItems>
  <dataFields count="1">
    <dataField name="Sum of Profit" fld="6" baseField="8" baseItem="1" numFmtId="6"/>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4.xml><?xml version="1.0" encoding="utf-8"?>
<pivotTableDefinition xmlns="http://schemas.openxmlformats.org/spreadsheetml/2006/main" name="PivotTable3" cacheId="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E14" firstHeaderRow="0" firstDataRow="1" firstDataCol="1"/>
  <pivotFields count="16">
    <pivotField numFmtId="1" showAll="0"/>
    <pivotField axis="axisRow" showAll="0">
      <items count="11">
        <item x="0"/>
        <item x="1"/>
        <item x="2"/>
        <item x="3"/>
        <item x="4"/>
        <item x="5"/>
        <item x="6"/>
        <item x="7"/>
        <item x="8"/>
        <item x="9"/>
        <item t="default"/>
      </items>
    </pivotField>
    <pivotField showAll="0"/>
    <pivotField showAll="0">
      <items count="7">
        <item x="3"/>
        <item x="0"/>
        <item x="2"/>
        <item x="1"/>
        <item x="5"/>
        <item x="4"/>
        <item t="default"/>
      </items>
    </pivotField>
    <pivotField showAll="0"/>
    <pivotField dataField="1" numFmtId="167" showAll="0"/>
    <pivotField dataField="1" numFmtId="167" showAll="0"/>
    <pivotField numFmtId="167" showAll="0"/>
    <pivotField numFmtId="14" showAll="0">
      <items count="15">
        <item x="0"/>
        <item x="1"/>
        <item x="2"/>
        <item x="3"/>
        <item x="4"/>
        <item x="5"/>
        <item x="6"/>
        <item x="7"/>
        <item x="8"/>
        <item x="9"/>
        <item x="10"/>
        <item x="11"/>
        <item x="12"/>
        <item x="13"/>
        <item t="default"/>
      </items>
    </pivotField>
    <pivotField dataField="1"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ataField="1" dragToRow="0" dragToCol="0" dragToPage="0" showAll="0" defaultSubtotal="0"/>
    <pivotField showAll="0" defaultSubtotal="0">
      <items count="6">
        <item x="0"/>
        <item x="1"/>
        <item x="2"/>
        <item x="3"/>
        <item x="4"/>
        <item x="5"/>
      </items>
    </pivotField>
    <pivotField showAll="0" defaultSubtotal="0">
      <items count="4">
        <item x="0"/>
        <item x="1"/>
        <item x="2"/>
        <item x="3"/>
      </items>
    </pivotField>
  </pivotFields>
  <rowFields count="1">
    <field x="1"/>
  </rowFields>
  <rowItems count="11">
    <i>
      <x/>
    </i>
    <i>
      <x v="1"/>
    </i>
    <i>
      <x v="2"/>
    </i>
    <i>
      <x v="3"/>
    </i>
    <i>
      <x v="4"/>
    </i>
    <i>
      <x v="5"/>
    </i>
    <i>
      <x v="6"/>
    </i>
    <i>
      <x v="7"/>
    </i>
    <i>
      <x v="8"/>
    </i>
    <i>
      <x v="9"/>
    </i>
    <i t="grand">
      <x/>
    </i>
  </rowItems>
  <colFields count="1">
    <field x="-2"/>
  </colFields>
  <colItems count="4">
    <i>
      <x/>
    </i>
    <i i="1">
      <x v="1"/>
    </i>
    <i i="2">
      <x v="2"/>
    </i>
    <i i="3">
      <x v="3"/>
    </i>
  </colItems>
  <dataFields count="4">
    <dataField name="Actual Profit" fld="6" baseField="1" baseItem="0" numFmtId="6"/>
    <dataField name="Sum of Target Profit" fld="5" baseField="0" baseItem="0"/>
    <dataField name="Difference b/w Actual and target" fld="9" baseField="1" baseItem="0" numFmtId="167"/>
    <dataField name="Sum of percentage" fld="13" baseField="0" baseItem="0" numFmtId="167"/>
  </dataFields>
  <formats count="4">
    <format dxfId="110">
      <pivotArea dataOnly="0" labelOnly="1" outline="0" fieldPosition="0">
        <references count="1">
          <reference field="4294967294" count="1">
            <x v="2"/>
          </reference>
        </references>
      </pivotArea>
    </format>
    <format dxfId="109">
      <pivotArea dataOnly="0" outline="0" fieldPosition="0">
        <references count="1">
          <reference field="4294967294" count="1">
            <x v="3"/>
          </reference>
        </references>
      </pivotArea>
    </format>
    <format dxfId="108">
      <pivotArea dataOnly="0" outline="0" fieldPosition="0">
        <references count="1">
          <reference field="4294967294" count="1">
            <x v="3"/>
          </reference>
        </references>
      </pivotArea>
    </format>
    <format dxfId="107">
      <pivotArea dataOnly="0" outline="0" fieldPosition="0">
        <references count="1">
          <reference field="4294967294" count="1">
            <x v="3"/>
          </reference>
        </references>
      </pivotArea>
    </format>
  </formats>
  <conditionalFormats count="2">
    <conditionalFormat priority="2">
      <pivotAreas count="1">
        <pivotArea type="data" collapsedLevelsAreSubtotals="1" fieldPosition="0">
          <references count="2">
            <reference field="4294967294" count="1" selected="0">
              <x v="2"/>
            </reference>
            <reference field="1" count="1">
              <x v="0"/>
            </reference>
          </references>
        </pivotArea>
      </pivotAreas>
    </conditionalFormat>
    <conditionalFormat priority="1">
      <pivotAreas count="1">
        <pivotArea type="data" collapsedLevelsAreSubtotals="1" fieldPosition="0">
          <references count="2">
            <reference field="4294967294" count="1" selected="0">
              <x v="2"/>
            </reference>
            <reference field="1" count="10">
              <x v="0"/>
              <x v="1"/>
              <x v="2"/>
              <x v="3"/>
              <x v="4"/>
              <x v="5"/>
              <x v="6"/>
              <x v="7"/>
              <x v="8"/>
              <x v="9"/>
            </reference>
          </references>
        </pivotArea>
      </pivotAreas>
    </conditionalFormat>
  </conditional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5.xml><?xml version="1.0" encoding="utf-8"?>
<pivotTableDefinition xmlns="http://schemas.openxmlformats.org/spreadsheetml/2006/main" name="PivotTable4" cacheId="1" applyNumberFormats="0" applyBorderFormats="0" applyFontFormats="0" applyPatternFormats="0" applyAlignmentFormats="0" applyWidthHeightFormats="1" dataCaption="Values" updatedVersion="6" minRefreshableVersion="3" useAutoFormatting="1" rowGrandTotals="0" colGrandTotals="0" itemPrintTitles="1" createdVersion="6" indent="0" outline="1" outlineData="1" multipleFieldFilters="0">
  <location ref="A3:E12" firstHeaderRow="1" firstDataRow="2" firstDataCol="1"/>
  <pivotFields count="16">
    <pivotField numFmtId="1" showAll="0"/>
    <pivotField showAll="0">
      <items count="11">
        <item x="0"/>
        <item x="1"/>
        <item x="2"/>
        <item x="3"/>
        <item x="4"/>
        <item x="5"/>
        <item x="6"/>
        <item x="7"/>
        <item x="8"/>
        <item x="9"/>
        <item t="default"/>
      </items>
    </pivotField>
    <pivotField axis="axisRow" showAll="0">
      <items count="9">
        <item x="0"/>
        <item x="3"/>
        <item x="7"/>
        <item x="4"/>
        <item x="6"/>
        <item x="1"/>
        <item x="5"/>
        <item x="2"/>
        <item t="default"/>
      </items>
    </pivotField>
    <pivotField showAll="0">
      <items count="7">
        <item x="3"/>
        <item x="0"/>
        <item x="2"/>
        <item x="1"/>
        <item x="5"/>
        <item x="4"/>
        <item t="default"/>
      </items>
    </pivotField>
    <pivotField axis="axisCol" showAll="0">
      <items count="5">
        <item x="0"/>
        <item x="1"/>
        <item x="3"/>
        <item x="2"/>
        <item t="default"/>
      </items>
    </pivotField>
    <pivotField numFmtId="167" showAll="0"/>
    <pivotField numFmtId="167" showAll="0"/>
    <pivotField dataField="1" numFmtId="167" showAll="0"/>
    <pivotField numFmtId="14" showAll="0">
      <items count="15">
        <item x="0"/>
        <item x="1"/>
        <item x="2"/>
        <item x="3"/>
        <item x="4"/>
        <item x="5"/>
        <item x="6"/>
        <item x="7"/>
        <item x="8"/>
        <item x="9"/>
        <item x="10"/>
        <item x="11"/>
        <item x="12"/>
        <item x="13"/>
        <item t="default"/>
      </items>
    </pivotField>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showAll="0" defaultSubtotal="0">
      <items count="6">
        <item x="0"/>
        <item x="1"/>
        <item x="2"/>
        <item x="3"/>
        <item x="4"/>
        <item x="5"/>
      </items>
    </pivotField>
    <pivotField showAll="0" defaultSubtotal="0">
      <items count="4">
        <item x="0"/>
        <item x="1"/>
        <item x="2"/>
        <item x="3"/>
      </items>
    </pivotField>
  </pivotFields>
  <rowFields count="1">
    <field x="2"/>
  </rowFields>
  <rowItems count="8">
    <i>
      <x/>
    </i>
    <i>
      <x v="1"/>
    </i>
    <i>
      <x v="2"/>
    </i>
    <i>
      <x v="3"/>
    </i>
    <i>
      <x v="4"/>
    </i>
    <i>
      <x v="5"/>
    </i>
    <i>
      <x v="6"/>
    </i>
    <i>
      <x v="7"/>
    </i>
  </rowItems>
  <colFields count="1">
    <field x="4"/>
  </colFields>
  <colItems count="4">
    <i>
      <x/>
    </i>
    <i>
      <x v="1"/>
    </i>
    <i>
      <x v="2"/>
    </i>
    <i>
      <x v="3"/>
    </i>
  </colItems>
  <dataFields count="1">
    <dataField name="Sum of Marked Price" fld="7" showDataAs="difference" baseField="2"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6.xml><?xml version="1.0" encoding="utf-8"?>
<pivotTableDefinition xmlns="http://schemas.openxmlformats.org/spreadsheetml/2006/main" name="PivotTable5" cacheId="1" applyNumberFormats="0" applyBorderFormats="0" applyFontFormats="0" applyPatternFormats="0" applyAlignmentFormats="0" applyWidthHeightFormats="1" dataCaption="Values" updatedVersion="6" minRefreshableVersion="3" useAutoFormatting="1" rowGrandTotals="0" colGrandTotals="0" itemPrintTitles="1" createdVersion="6" indent="0" outline="1" outlineData="1" multipleFieldFilters="0">
  <location ref="A3:C6" firstHeaderRow="1" firstDataRow="2" firstDataCol="1"/>
  <pivotFields count="16">
    <pivotField numFmtId="1" showAll="0"/>
    <pivotField showAll="0"/>
    <pivotField showAll="0">
      <items count="9">
        <item x="0"/>
        <item h="1" x="3"/>
        <item h="1" x="7"/>
        <item h="1" x="4"/>
        <item h="1" x="6"/>
        <item h="1" x="1"/>
        <item h="1" x="5"/>
        <item h="1" x="2"/>
        <item t="default"/>
      </items>
    </pivotField>
    <pivotField showAll="0">
      <items count="7">
        <item x="3"/>
        <item x="0"/>
        <item x="2"/>
        <item x="1"/>
        <item x="5"/>
        <item x="4"/>
        <item t="default"/>
      </items>
    </pivotField>
    <pivotField showAll="0"/>
    <pivotField numFmtId="167" showAll="0"/>
    <pivotField dataField="1" numFmtId="167" showAll="0"/>
    <pivotField numFmtId="167" showAll="0"/>
    <pivotField axis="axisRow" numFmtId="14" showAll="0">
      <items count="15">
        <item x="0"/>
        <item x="1"/>
        <item x="2"/>
        <item x="3"/>
        <item x="4"/>
        <item x="5"/>
        <item x="6"/>
        <item x="7"/>
        <item x="8"/>
        <item x="9"/>
        <item x="10"/>
        <item x="11"/>
        <item x="12"/>
        <item x="13"/>
        <item t="default"/>
      </items>
    </pivotField>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axis="axisCol" showAll="0" sortType="ascending" defaultSubtotal="0">
      <items count="6">
        <item x="0"/>
        <item x="1"/>
        <item x="2"/>
        <item x="3"/>
        <item x="4"/>
        <item x="5"/>
      </items>
      <autoSortScope>
        <pivotArea dataOnly="0" outline="0" fieldPosition="0">
          <references count="1">
            <reference field="4294967294" count="1" selected="0">
              <x v="0"/>
            </reference>
          </references>
        </pivotArea>
      </autoSortScope>
    </pivotField>
    <pivotField axis="axisRow" showAll="0" defaultSubtotal="0">
      <items count="4">
        <item x="0"/>
        <item sd="0" x="1"/>
        <item sd="0" x="2"/>
        <item x="3"/>
      </items>
    </pivotField>
  </pivotFields>
  <rowFields count="2">
    <field x="15"/>
    <field x="8"/>
  </rowFields>
  <rowItems count="2">
    <i>
      <x v="1"/>
    </i>
    <i>
      <x v="2"/>
    </i>
  </rowItems>
  <colFields count="1">
    <field x="14"/>
  </colFields>
  <colItems count="2">
    <i>
      <x v="2"/>
    </i>
    <i>
      <x v="1"/>
    </i>
  </colItems>
  <dataFields count="1">
    <dataField name="Sum of Profit" fld="6" baseField="14" baseItem="0">
      <extLst>
        <ext xmlns:x14="http://schemas.microsoft.com/office/spreadsheetml/2009/9/main" uri="{E15A36E0-9728-4e99-A89B-3F7291B0FE68}">
          <x14:dataField pivotShowAs="rankDescending"/>
        </ext>
      </extLst>
    </dataField>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7.xml><?xml version="1.0" encoding="utf-8"?>
<pivotTableDefinition xmlns="http://schemas.openxmlformats.org/spreadsheetml/2006/main" name="PivotTable6" cacheId="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D1:E11" firstHeaderRow="1" firstDataRow="1" firstDataCol="1"/>
  <pivotFields count="16">
    <pivotField numFmtId="1" showAll="0"/>
    <pivotField axis="axisRow" showAll="0">
      <items count="11">
        <item x="0"/>
        <item x="1"/>
        <item x="2"/>
        <item x="3"/>
        <item x="4"/>
        <item x="5"/>
        <item x="6"/>
        <item x="7"/>
        <item x="8"/>
        <item x="9"/>
        <item t="default"/>
      </items>
    </pivotField>
    <pivotField showAll="0">
      <items count="9">
        <item x="0"/>
        <item h="1" x="3"/>
        <item h="1" x="7"/>
        <item h="1" x="4"/>
        <item h="1" x="6"/>
        <item h="1" x="1"/>
        <item h="1" x="5"/>
        <item h="1" x="2"/>
        <item t="default"/>
      </items>
    </pivotField>
    <pivotField showAll="0">
      <items count="7">
        <item x="3"/>
        <item x="0"/>
        <item x="2"/>
        <item x="1"/>
        <item x="5"/>
        <item x="4"/>
        <item t="default"/>
      </items>
    </pivotField>
    <pivotField axis="axisRow" showAll="0">
      <items count="5">
        <item x="0"/>
        <item x="1"/>
        <item x="3"/>
        <item x="2"/>
        <item t="default"/>
      </items>
    </pivotField>
    <pivotField numFmtId="167" showAll="0"/>
    <pivotField dataField="1" numFmtId="167" showAll="0"/>
    <pivotField numFmtId="167" showAll="0"/>
    <pivotField numFmtId="14" showAll="0">
      <items count="15">
        <item x="0"/>
        <item x="1"/>
        <item x="2"/>
        <item x="3"/>
        <item x="4"/>
        <item x="5"/>
        <item x="6"/>
        <item x="7"/>
        <item x="8"/>
        <item x="9"/>
        <item x="10"/>
        <item x="11"/>
        <item x="12"/>
        <item x="13"/>
        <item t="default"/>
      </items>
    </pivotField>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showAll="0" defaultSubtotal="0"/>
    <pivotField showAll="0" defaultSubtotal="0"/>
  </pivotFields>
  <rowFields count="2">
    <field x="4"/>
    <field x="1"/>
  </rowFields>
  <rowItems count="10">
    <i>
      <x/>
    </i>
    <i r="1">
      <x/>
    </i>
    <i r="1">
      <x v="5"/>
    </i>
    <i>
      <x v="1"/>
    </i>
    <i r="1">
      <x v="4"/>
    </i>
    <i>
      <x v="2"/>
    </i>
    <i r="1">
      <x v="4"/>
    </i>
    <i>
      <x v="3"/>
    </i>
    <i r="1">
      <x v="4"/>
    </i>
    <i t="grand">
      <x/>
    </i>
  </rowItems>
  <colItems count="1">
    <i/>
  </colItems>
  <dataFields count="1">
    <dataField name="Sum of Profit" fld="6"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8.xml><?xml version="1.0" encoding="utf-8"?>
<pivotTableDefinition xmlns="http://schemas.openxmlformats.org/spreadsheetml/2006/main" name="PivotTable1" cacheId="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3">
  <location ref="A3:B8" firstHeaderRow="1" firstDataRow="1" firstDataCol="1"/>
  <pivotFields count="16">
    <pivotField numFmtId="1" showAll="0"/>
    <pivotField showAll="0"/>
    <pivotField showAll="0"/>
    <pivotField showAll="0">
      <items count="7">
        <item x="3"/>
        <item x="0"/>
        <item x="2"/>
        <item x="1"/>
        <item x="5"/>
        <item x="4"/>
        <item t="default"/>
      </items>
    </pivotField>
    <pivotField axis="axisRow" showAll="0" sortType="descending">
      <items count="5">
        <item x="0"/>
        <item x="1"/>
        <item x="3"/>
        <item x="2"/>
        <item t="default"/>
      </items>
      <autoSortScope>
        <pivotArea dataOnly="0" outline="0" fieldPosition="0">
          <references count="1">
            <reference field="4294967294" count="1" selected="0">
              <x v="0"/>
            </reference>
          </references>
        </pivotArea>
      </autoSortScope>
    </pivotField>
    <pivotField numFmtId="167" showAll="0"/>
    <pivotField dataField="1" numFmtId="167" showAll="0"/>
    <pivotField numFmtId="167" showAll="0"/>
    <pivotField numFmtId="14" showAl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showAll="0" defaultSubtotal="0"/>
    <pivotField showAll="0" defaultSubtotal="0"/>
  </pivotFields>
  <rowFields count="1">
    <field x="4"/>
  </rowFields>
  <rowItems count="5">
    <i>
      <x/>
    </i>
    <i>
      <x v="3"/>
    </i>
    <i>
      <x v="2"/>
    </i>
    <i>
      <x v="1"/>
    </i>
    <i t="grand">
      <x/>
    </i>
  </rowItems>
  <colItems count="1">
    <i/>
  </colItems>
  <dataFields count="1">
    <dataField name="Sum of Profit" fld="6" baseField="0" baseItem="0"/>
  </dataFields>
  <chartFormats count="6">
    <chartFormat chart="0" format="1" series="1">
      <pivotArea type="data" outline="0" fieldPosition="0">
        <references count="1">
          <reference field="4294967294" count="1" selected="0">
            <x v="0"/>
          </reference>
        </references>
      </pivotArea>
    </chartFormat>
    <chartFormat chart="12" format="7" series="1">
      <pivotArea type="data" outline="0" fieldPosition="0">
        <references count="1">
          <reference field="4294967294" count="1" selected="0">
            <x v="0"/>
          </reference>
        </references>
      </pivotArea>
    </chartFormat>
    <chartFormat chart="12" format="8">
      <pivotArea type="data" outline="0" fieldPosition="0">
        <references count="2">
          <reference field="4294967294" count="1" selected="0">
            <x v="0"/>
          </reference>
          <reference field="4" count="1" selected="0">
            <x v="0"/>
          </reference>
        </references>
      </pivotArea>
    </chartFormat>
    <chartFormat chart="12" format="9">
      <pivotArea type="data" outline="0" fieldPosition="0">
        <references count="2">
          <reference field="4294967294" count="1" selected="0">
            <x v="0"/>
          </reference>
          <reference field="4" count="1" selected="0">
            <x v="3"/>
          </reference>
        </references>
      </pivotArea>
    </chartFormat>
    <chartFormat chart="12" format="10">
      <pivotArea type="data" outline="0" fieldPosition="0">
        <references count="2">
          <reference field="4294967294" count="1" selected="0">
            <x v="0"/>
          </reference>
          <reference field="4" count="1" selected="0">
            <x v="2"/>
          </reference>
        </references>
      </pivotArea>
    </chartFormat>
    <chartFormat chart="12" format="11">
      <pivotArea type="data" outline="0" fieldPosition="0">
        <references count="2">
          <reference field="4294967294" count="1" selected="0">
            <x v="0"/>
          </reference>
          <reference field="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9.xml><?xml version="1.0" encoding="utf-8"?>
<pivotTableDefinition xmlns="http://schemas.openxmlformats.org/spreadsheetml/2006/main" name="PivotTable1" cacheId="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
  <location ref="A3:B6" firstHeaderRow="1" firstDataRow="1" firstDataCol="1"/>
  <pivotFields count="16">
    <pivotField numFmtId="1" showAll="0"/>
    <pivotField showAll="0"/>
    <pivotField showAll="0"/>
    <pivotField showAll="0">
      <items count="7">
        <item x="3"/>
        <item x="0"/>
        <item x="2"/>
        <item x="1"/>
        <item x="5"/>
        <item x="4"/>
        <item t="default"/>
      </items>
    </pivotField>
    <pivotField showAll="0"/>
    <pivotField numFmtId="167" showAll="0"/>
    <pivotField dataField="1" numFmtId="167" showAll="0"/>
    <pivotField numFmtId="167" showAll="0"/>
    <pivotField axis="axisRow" numFmtId="14" showAll="0">
      <items count="15">
        <item x="0"/>
        <item x="1"/>
        <item x="2"/>
        <item x="3"/>
        <item x="4"/>
        <item x="5"/>
        <item x="6"/>
        <item x="7"/>
        <item x="8"/>
        <item x="9"/>
        <item x="10"/>
        <item x="11"/>
        <item x="12"/>
        <item x="13"/>
        <item t="default"/>
      </items>
    </pivotField>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axis="axisRow" showAll="0" defaultSubtotal="0">
      <items count="6">
        <item sd="0" x="0"/>
        <item sd="0" x="1"/>
        <item sd="0" x="2"/>
        <item sd="0" x="3"/>
        <item sd="0" x="4"/>
        <item sd="0" x="5"/>
      </items>
    </pivotField>
    <pivotField axis="axisRow" showAll="0" defaultSubtotal="0">
      <items count="4">
        <item sd="0" x="0"/>
        <item sd="0" x="1"/>
        <item sd="0" x="2"/>
        <item sd="0" x="3"/>
      </items>
    </pivotField>
  </pivotFields>
  <rowFields count="3">
    <field x="15"/>
    <field x="14"/>
    <field x="8"/>
  </rowFields>
  <rowItems count="3">
    <i>
      <x v="1"/>
    </i>
    <i>
      <x v="2"/>
    </i>
    <i t="grand">
      <x/>
    </i>
  </rowItems>
  <colItems count="1">
    <i/>
  </colItems>
  <dataFields count="1">
    <dataField name="Sum of Profit" fld="6"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10.xml><?xml version="1.0" encoding="utf-8"?>
<pivotTableDefinition xmlns="http://schemas.openxmlformats.org/spreadsheetml/2006/main" name="PivotTable7" cacheId="1" applyNumberFormats="0" applyBorderFormats="0" applyFontFormats="0" applyPatternFormats="0" applyAlignmentFormats="0" applyWidthHeightFormats="1" dataCaption="Values" updatedVersion="6" minRefreshableVersion="3" useAutoFormatting="1" itemPrintTitles="1" createdVersion="4" indent="0" outline="1" outlineData="1" multipleFieldFilters="0" chartFormat="1">
  <location ref="A3:C14" firstHeaderRow="0" firstDataRow="1" firstDataCol="1"/>
  <pivotFields count="16">
    <pivotField numFmtId="1" showAll="0"/>
    <pivotField axis="axisRow" showAll="0">
      <items count="11">
        <item x="0"/>
        <item x="1"/>
        <item x="2"/>
        <item x="3"/>
        <item x="4"/>
        <item x="5"/>
        <item x="6"/>
        <item x="7"/>
        <item x="8"/>
        <item x="9"/>
        <item t="default"/>
      </items>
    </pivotField>
    <pivotField showAll="0"/>
    <pivotField showAll="0">
      <items count="7">
        <item x="3"/>
        <item x="0"/>
        <item x="2"/>
        <item x="1"/>
        <item x="5"/>
        <item x="4"/>
        <item t="default"/>
      </items>
    </pivotField>
    <pivotField showAll="0"/>
    <pivotField dataField="1" numFmtId="167" showAll="0"/>
    <pivotField dataField="1" numFmtId="167" showAll="0"/>
    <pivotField numFmtId="167" showAll="0"/>
    <pivotField numFmtId="14" showAl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showAll="0" defaultSubtotal="0"/>
    <pivotField showAll="0" defaultSubtotal="0"/>
  </pivotFields>
  <rowFields count="1">
    <field x="1"/>
  </rowFields>
  <rowItems count="11">
    <i>
      <x/>
    </i>
    <i>
      <x v="1"/>
    </i>
    <i>
      <x v="2"/>
    </i>
    <i>
      <x v="3"/>
    </i>
    <i>
      <x v="4"/>
    </i>
    <i>
      <x v="5"/>
    </i>
    <i>
      <x v="6"/>
    </i>
    <i>
      <x v="7"/>
    </i>
    <i>
      <x v="8"/>
    </i>
    <i>
      <x v="9"/>
    </i>
    <i t="grand">
      <x/>
    </i>
  </rowItems>
  <colFields count="1">
    <field x="-2"/>
  </colFields>
  <colItems count="2">
    <i>
      <x/>
    </i>
    <i i="1">
      <x v="1"/>
    </i>
  </colItems>
  <dataFields count="2">
    <dataField name="Sum of Profit" fld="6" baseField="0" baseItem="0"/>
    <dataField name="Sum of Target Profit" fld="5" baseField="0" baseItem="0"/>
  </dataFields>
  <chartFormats count="2">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11.xml><?xml version="1.0" encoding="utf-8"?>
<pivotTableDefinition xmlns="http://schemas.openxmlformats.org/spreadsheetml/2006/main" name="PivotTable5" cacheId="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B14" firstHeaderRow="1" firstDataRow="1" firstDataCol="1"/>
  <pivotFields count="16">
    <pivotField numFmtId="1" showAll="0"/>
    <pivotField axis="axisRow" showAll="0">
      <items count="11">
        <item x="0"/>
        <item x="1"/>
        <item x="2"/>
        <item x="3"/>
        <item x="4"/>
        <item x="5"/>
        <item x="6"/>
        <item x="7"/>
        <item x="8"/>
        <item x="9"/>
        <item t="default"/>
      </items>
    </pivotField>
    <pivotField showAll="0"/>
    <pivotField showAll="0">
      <items count="7">
        <item x="3"/>
        <item x="0"/>
        <item x="2"/>
        <item x="1"/>
        <item x="5"/>
        <item x="4"/>
        <item t="default"/>
      </items>
    </pivotField>
    <pivotField showAll="0"/>
    <pivotField numFmtId="167" showAll="0"/>
    <pivotField dataField="1" numFmtId="167" showAll="0"/>
    <pivotField numFmtId="167" showAll="0"/>
    <pivotField numFmtId="14" showAl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showAll="0" defaultSubtotal="0"/>
    <pivotField showAll="0" defaultSubtotal="0"/>
  </pivotFields>
  <rowFields count="1">
    <field x="1"/>
  </rowFields>
  <rowItems count="11">
    <i>
      <x/>
    </i>
    <i>
      <x v="1"/>
    </i>
    <i>
      <x v="2"/>
    </i>
    <i>
      <x v="3"/>
    </i>
    <i>
      <x v="4"/>
    </i>
    <i>
      <x v="5"/>
    </i>
    <i>
      <x v="6"/>
    </i>
    <i>
      <x v="7"/>
    </i>
    <i>
      <x v="8"/>
    </i>
    <i>
      <x v="9"/>
    </i>
    <i t="grand">
      <x/>
    </i>
  </rowItems>
  <colItems count="1">
    <i/>
  </colItems>
  <dataFields count="1">
    <dataField name="Sum of Profit" fld="6" baseField="1" baseItem="0" numFmtId="165"/>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12.xml><?xml version="1.0" encoding="utf-8"?>
<pivotTableDefinition xmlns="http://schemas.openxmlformats.org/spreadsheetml/2006/main" name="PivotTable1" cacheId="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3">
  <location ref="A3:B8" firstHeaderRow="1" firstDataRow="1" firstDataCol="1"/>
  <pivotFields count="16">
    <pivotField numFmtId="1" showAll="0"/>
    <pivotField showAll="0">
      <items count="11">
        <item x="0"/>
        <item x="1"/>
        <item x="2"/>
        <item x="3"/>
        <item x="4"/>
        <item x="5"/>
        <item x="6"/>
        <item x="7"/>
        <item x="8"/>
        <item x="9"/>
        <item t="default"/>
      </items>
    </pivotField>
    <pivotField showAll="0"/>
    <pivotField showAll="0">
      <items count="7">
        <item x="3"/>
        <item x="0"/>
        <item x="2"/>
        <item x="1"/>
        <item x="5"/>
        <item x="4"/>
        <item t="default"/>
      </items>
    </pivotField>
    <pivotField axis="axisRow" showAll="0" sortType="descending">
      <items count="5">
        <item x="2"/>
        <item x="3"/>
        <item x="1"/>
        <item x="0"/>
        <item t="default"/>
      </items>
    </pivotField>
    <pivotField numFmtId="167" showAll="0"/>
    <pivotField dataField="1" numFmtId="167" showAll="0">
      <items count="18">
        <item x="10"/>
        <item x="2"/>
        <item x="5"/>
        <item x="13"/>
        <item x="3"/>
        <item x="6"/>
        <item x="1"/>
        <item x="7"/>
        <item x="4"/>
        <item x="11"/>
        <item x="15"/>
        <item x="14"/>
        <item x="9"/>
        <item x="16"/>
        <item x="0"/>
        <item x="8"/>
        <item x="12"/>
        <item t="default"/>
      </items>
    </pivotField>
    <pivotField numFmtId="167" showAll="0"/>
    <pivotField numFmtId="14" showAl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showAll="0" defaultSubtotal="0"/>
    <pivotField showAll="0" defaultSubtotal="0"/>
  </pivotFields>
  <rowFields count="1">
    <field x="4"/>
  </rowFields>
  <rowItems count="5">
    <i>
      <x/>
    </i>
    <i>
      <x v="1"/>
    </i>
    <i>
      <x v="2"/>
    </i>
    <i>
      <x v="3"/>
    </i>
    <i t="grand">
      <x/>
    </i>
  </rowItems>
  <colItems count="1">
    <i/>
  </colItems>
  <dataFields count="1">
    <dataField name="Sum of Profit" fld="6" baseField="0" baseItem="0"/>
  </dataFields>
  <chartFormats count="7">
    <chartFormat chart="0" format="2" series="1">
      <pivotArea type="data" outline="0" fieldPosition="0">
        <references count="1">
          <reference field="4294967294" count="1" selected="0">
            <x v="0"/>
          </reference>
        </references>
      </pivotArea>
    </chartFormat>
    <chartFormat chart="1" format="3" series="1">
      <pivotArea type="data" outline="0" fieldPosition="0">
        <references count="1">
          <reference field="4294967294" count="1" selected="0">
            <x v="0"/>
          </reference>
        </references>
      </pivotArea>
    </chartFormat>
    <chartFormat chart="2" format="10" series="1">
      <pivotArea type="data" outline="0" fieldPosition="0">
        <references count="1">
          <reference field="4294967294" count="1" selected="0">
            <x v="0"/>
          </reference>
        </references>
      </pivotArea>
    </chartFormat>
    <chartFormat chart="2" format="11">
      <pivotArea type="data" outline="0" fieldPosition="0">
        <references count="2">
          <reference field="4294967294" count="1" selected="0">
            <x v="0"/>
          </reference>
          <reference field="4" count="1" selected="0">
            <x v="2"/>
          </reference>
        </references>
      </pivotArea>
    </chartFormat>
    <chartFormat chart="2" format="12">
      <pivotArea type="data" outline="0" fieldPosition="0">
        <references count="2">
          <reference field="4294967294" count="1" selected="0">
            <x v="0"/>
          </reference>
          <reference field="4" count="1" selected="0">
            <x v="0"/>
          </reference>
        </references>
      </pivotArea>
    </chartFormat>
    <chartFormat chart="2" format="13">
      <pivotArea type="data" outline="0" fieldPosition="0">
        <references count="2">
          <reference field="4294967294" count="1" selected="0">
            <x v="0"/>
          </reference>
          <reference field="4" count="1" selected="0">
            <x v="1"/>
          </reference>
        </references>
      </pivotArea>
    </chartFormat>
    <chartFormat chart="2" format="14">
      <pivotArea type="data" outline="0" fieldPosition="0">
        <references count="2">
          <reference field="4294967294" count="1" selected="0">
            <x v="0"/>
          </reference>
          <reference field="4"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13.xml><?xml version="1.0" encoding="utf-8"?>
<pivotTableDefinition xmlns="http://schemas.openxmlformats.org/spreadsheetml/2006/main" name="PivotTable2" cacheId="1" applyNumberFormats="0" applyBorderFormats="0" applyFontFormats="0" applyPatternFormats="0" applyAlignmentFormats="0" applyWidthHeightFormats="1" dataCaption="Values" updatedVersion="6" minRefreshableVersion="3" useAutoFormatting="1" rowGrandTotals="0" colGrandTotals="0" itemPrintTitles="1" createdVersion="6" indent="0" outline="1" outlineData="1" multipleFieldFilters="0" chartFormat="3">
  <location ref="A3:B13" firstHeaderRow="1" firstDataRow="1" firstDataCol="1"/>
  <pivotFields count="16">
    <pivotField numFmtId="1" showAll="0"/>
    <pivotField axis="axisRow" showAll="0" sortType="descending">
      <items count="11">
        <item x="9"/>
        <item x="8"/>
        <item x="7"/>
        <item x="6"/>
        <item x="5"/>
        <item x="4"/>
        <item x="3"/>
        <item x="2"/>
        <item x="1"/>
        <item x="0"/>
        <item t="default"/>
      </items>
      <autoSortScope>
        <pivotArea dataOnly="0" outline="0" fieldPosition="0">
          <references count="1">
            <reference field="4294967294" count="1" selected="0">
              <x v="0"/>
            </reference>
          </references>
        </pivotArea>
      </autoSortScope>
    </pivotField>
    <pivotField showAll="0"/>
    <pivotField showAll="0">
      <items count="7">
        <item x="3"/>
        <item x="0"/>
        <item x="2"/>
        <item x="1"/>
        <item x="5"/>
        <item x="4"/>
        <item t="default"/>
      </items>
    </pivotField>
    <pivotField showAll="0">
      <items count="5">
        <item x="0"/>
        <item x="1"/>
        <item x="3"/>
        <item x="2"/>
        <item t="default"/>
      </items>
    </pivotField>
    <pivotField numFmtId="167" showAll="0"/>
    <pivotField dataField="1" numFmtId="167" showAll="0"/>
    <pivotField numFmtId="167" showAll="0"/>
    <pivotField numFmtId="14" showAl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showAll="0" defaultSubtotal="0"/>
    <pivotField showAll="0" defaultSubtotal="0"/>
  </pivotFields>
  <rowFields count="1">
    <field x="1"/>
  </rowFields>
  <rowItems count="10">
    <i>
      <x v="3"/>
    </i>
    <i>
      <x v="5"/>
    </i>
    <i>
      <x v="9"/>
    </i>
    <i>
      <x/>
    </i>
    <i>
      <x v="4"/>
    </i>
    <i>
      <x v="2"/>
    </i>
    <i>
      <x v="1"/>
    </i>
    <i>
      <x v="7"/>
    </i>
    <i>
      <x v="8"/>
    </i>
    <i>
      <x v="6"/>
    </i>
  </rowItems>
  <colItems count="1">
    <i/>
  </colItems>
  <dataFields count="1">
    <dataField name="Sum of Profit" fld="6" baseField="0" baseItem="0"/>
  </dataFields>
  <chartFormats count="12">
    <chartFormat chart="0" format="1" series="1">
      <pivotArea type="data" outline="0" fieldPosition="0">
        <references count="1">
          <reference field="4294967294" count="1" selected="0">
            <x v="0"/>
          </reference>
        </references>
      </pivotArea>
    </chartFormat>
    <chartFormat chart="0" format="2">
      <pivotArea type="data" outline="0" fieldPosition="0">
        <references count="2">
          <reference field="4294967294" count="1" selected="0">
            <x v="0"/>
          </reference>
          <reference field="1" count="1" selected="0">
            <x v="3"/>
          </reference>
        </references>
      </pivotArea>
    </chartFormat>
    <chartFormat chart="0" format="3">
      <pivotArea type="data" outline="0" fieldPosition="0">
        <references count="2">
          <reference field="4294967294" count="1" selected="0">
            <x v="0"/>
          </reference>
          <reference field="1" count="1" selected="0">
            <x v="5"/>
          </reference>
        </references>
      </pivotArea>
    </chartFormat>
    <chartFormat chart="0" format="4">
      <pivotArea type="data" outline="0" fieldPosition="0">
        <references count="2">
          <reference field="4294967294" count="1" selected="0">
            <x v="0"/>
          </reference>
          <reference field="1" count="1" selected="0">
            <x v="9"/>
          </reference>
        </references>
      </pivotArea>
    </chartFormat>
    <chartFormat chart="0" format="5">
      <pivotArea type="data" outline="0" fieldPosition="0">
        <references count="2">
          <reference field="4294967294" count="1" selected="0">
            <x v="0"/>
          </reference>
          <reference field="1" count="1" selected="0">
            <x v="0"/>
          </reference>
        </references>
      </pivotArea>
    </chartFormat>
    <chartFormat chart="0" format="6">
      <pivotArea type="data" outline="0" fieldPosition="0">
        <references count="2">
          <reference field="4294967294" count="1" selected="0">
            <x v="0"/>
          </reference>
          <reference field="1" count="1" selected="0">
            <x v="4"/>
          </reference>
        </references>
      </pivotArea>
    </chartFormat>
    <chartFormat chart="0" format="7">
      <pivotArea type="data" outline="0" fieldPosition="0">
        <references count="2">
          <reference field="4294967294" count="1" selected="0">
            <x v="0"/>
          </reference>
          <reference field="1" count="1" selected="0">
            <x v="2"/>
          </reference>
        </references>
      </pivotArea>
    </chartFormat>
    <chartFormat chart="0" format="8">
      <pivotArea type="data" outline="0" fieldPosition="0">
        <references count="2">
          <reference field="4294967294" count="1" selected="0">
            <x v="0"/>
          </reference>
          <reference field="1" count="1" selected="0">
            <x v="1"/>
          </reference>
        </references>
      </pivotArea>
    </chartFormat>
    <chartFormat chart="0" format="9">
      <pivotArea type="data" outline="0" fieldPosition="0">
        <references count="2">
          <reference field="4294967294" count="1" selected="0">
            <x v="0"/>
          </reference>
          <reference field="1" count="1" selected="0">
            <x v="7"/>
          </reference>
        </references>
      </pivotArea>
    </chartFormat>
    <chartFormat chart="0" format="10">
      <pivotArea type="data" outline="0" fieldPosition="0">
        <references count="2">
          <reference field="4294967294" count="1" selected="0">
            <x v="0"/>
          </reference>
          <reference field="1" count="1" selected="0">
            <x v="8"/>
          </reference>
        </references>
      </pivotArea>
    </chartFormat>
    <chartFormat chart="0" format="11">
      <pivotArea type="data" outline="0" fieldPosition="0">
        <references count="2">
          <reference field="4294967294" count="1" selected="0">
            <x v="0"/>
          </reference>
          <reference field="1" count="1" selected="0">
            <x v="6"/>
          </reference>
        </references>
      </pivotArea>
    </chartFormat>
    <chartFormat chart="2" format="27"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14.xml><?xml version="1.0" encoding="utf-8"?>
<pivotTableDefinition xmlns="http://schemas.openxmlformats.org/spreadsheetml/2006/main" name="PivotTable3" cacheId="1" applyNumberFormats="0" applyBorderFormats="0" applyFontFormats="0" applyPatternFormats="0" applyAlignmentFormats="0" applyWidthHeightFormats="1" dataCaption="Values" updatedVersion="6" minRefreshableVersion="3" useAutoFormatting="1" rowGrandTotals="0" colGrandTotals="0" itemPrintTitles="1" createdVersion="6" indent="0" outline="1" outlineData="1" multipleFieldFilters="0" chartFormat="4">
  <location ref="A3:B9" firstHeaderRow="1" firstDataRow="1" firstDataCol="1"/>
  <pivotFields count="16">
    <pivotField numFmtId="1" showAll="0"/>
    <pivotField showAll="0"/>
    <pivotField showAll="0"/>
    <pivotField axis="axisRow" showAll="0" sortType="descending">
      <items count="7">
        <item x="4"/>
        <item x="5"/>
        <item x="1"/>
        <item x="2"/>
        <item x="0"/>
        <item x="3"/>
        <item t="default"/>
      </items>
      <autoSortScope>
        <pivotArea dataOnly="0" outline="0" fieldPosition="0">
          <references count="1">
            <reference field="4294967294" count="1" selected="0">
              <x v="0"/>
            </reference>
          </references>
        </pivotArea>
      </autoSortScope>
    </pivotField>
    <pivotField showAll="0">
      <items count="5">
        <item x="0"/>
        <item x="1"/>
        <item x="3"/>
        <item x="2"/>
        <item t="default"/>
      </items>
    </pivotField>
    <pivotField numFmtId="167" showAll="0"/>
    <pivotField dataField="1" numFmtId="167" showAll="0"/>
    <pivotField numFmtId="167" showAll="0"/>
    <pivotField numFmtId="14" showAl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showAll="0" defaultSubtotal="0"/>
    <pivotField showAll="0" defaultSubtotal="0"/>
  </pivotFields>
  <rowFields count="1">
    <field x="3"/>
  </rowFields>
  <rowItems count="6">
    <i>
      <x v="5"/>
    </i>
    <i>
      <x/>
    </i>
    <i>
      <x v="2"/>
    </i>
    <i>
      <x v="4"/>
    </i>
    <i>
      <x v="3"/>
    </i>
    <i>
      <x v="1"/>
    </i>
  </rowItems>
  <colItems count="1">
    <i/>
  </colItems>
  <dataFields count="1">
    <dataField name="Sum of Profit" fld="6" baseField="3" baseItem="0">
      <extLst>
        <ext xmlns:x14="http://schemas.microsoft.com/office/spreadsheetml/2009/9/main" uri="{E15A36E0-9728-4e99-A89B-3F7291B0FE68}">
          <x14:dataField pivotShowAs="rankAscending"/>
        </ext>
      </extLst>
    </dataField>
  </dataFields>
  <chartFormats count="2">
    <chartFormat chart="1" format="2" series="1">
      <pivotArea type="data" outline="0" fieldPosition="0">
        <references count="1">
          <reference field="4294967294" count="1" selected="0">
            <x v="0"/>
          </reference>
        </references>
      </pivotArea>
    </chartFormat>
    <chartFormat chart="3" format="5"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Product" sourceName="Product">
  <pivotTables>
    <pivotTable tabId="23" name="PivotTable6"/>
  </pivotTables>
  <data>
    <tabular pivotCacheId="1">
      <items count="10">
        <i x="0" s="1"/>
        <i x="4" s="1"/>
        <i x="5" s="1"/>
        <i x="1" s="1" nd="1"/>
        <i x="2" s="1" nd="1"/>
        <i x="3" s="1" nd="1"/>
        <i x="6" s="1" nd="1"/>
        <i x="7" s="1" nd="1"/>
        <i x="8" s="1" nd="1"/>
        <i x="9" s="1"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Product_Type" sourceName="Product Type">
  <pivotTables>
    <pivotTable tabId="23" name="PivotTable6"/>
    <pivotTable tabId="22" name="PivotTable5"/>
  </pivotTables>
  <data>
    <tabular pivotCacheId="1">
      <items count="8">
        <i x="0" s="1"/>
        <i x="3"/>
        <i x="7"/>
        <i x="4"/>
        <i x="6"/>
        <i x="1"/>
        <i x="5"/>
        <i x="2"/>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mc:Ignorable="x" name="Slicer_State" sourceName="State">
  <pivotTables>
    <pivotTable tabId="35" name="PivotTable1"/>
    <pivotTable tabId="36" name="PivotTable2"/>
    <pivotTable tabId="20" name="PivotTable3"/>
    <pivotTable tabId="21" name="PivotTable4"/>
    <pivotTable tabId="22" name="PivotTable5"/>
    <pivotTable tabId="19" name="PivotTable5"/>
    <pivotTable tabId="23" name="PivotTable6"/>
    <pivotTable tabId="26" name="PivotTable1"/>
    <pivotTable tabId="27" name="PivotTable1"/>
    <pivotTable tabId="28" name="PivotTable7"/>
    <pivotTable tabId="31" name="PivotTable5"/>
    <pivotTable tabId="37" name="PivotTable3"/>
  </pivotTables>
  <data>
    <tabular pivotCacheId="1">
      <items count="6">
        <i x="3" s="1"/>
        <i x="0" s="1"/>
        <i x="2" s="1"/>
        <i x="1" s="1"/>
        <i x="5" s="1"/>
        <i x="4"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mc:Ignorable="x" name="Slicer_Teritory" sourceName="Teritory">
  <pivotTables>
    <pivotTable tabId="35" name="PivotTable1"/>
    <pivotTable tabId="36" name="PivotTable2"/>
    <pivotTable tabId="37" name="PivotTable3"/>
  </pivotTables>
  <data>
    <tabular pivotCacheId="1">
      <items count="4">
        <i x="0" s="1"/>
        <i x="1" s="1"/>
        <i x="3" s="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Product" cache="Slicer_Product" caption="Product" rowHeight="274320"/>
  <slicer name="Product Type" cache="Slicer_Product_Type" caption="Product Type" rowHeight="241300"/>
</slicers>
</file>

<file path=xl/slicers/slicer2.xml><?xml version="1.0" encoding="utf-8"?>
<slicers xmlns="http://schemas.microsoft.com/office/spreadsheetml/2009/9/main" xmlns:mc="http://schemas.openxmlformats.org/markup-compatibility/2006" xmlns:x="http://schemas.openxmlformats.org/spreadsheetml/2006/main" mc:Ignorable="x">
  <slicer name="State" cache="Slicer_State" caption="State" style="SlicerStyleDark1" rowHeight="365760"/>
  <slicer name="Teritory" cache="Slicer_Teritory" caption="Teritory" style="SlicerStyleDark1" rowHeight="365760"/>
</slicers>
</file>

<file path=xl/tables/table1.xml><?xml version="1.0" encoding="utf-8"?>
<table xmlns="http://schemas.openxmlformats.org/spreadsheetml/2006/main" id="5" name="Table5" displayName="Table5" ref="A1:E21" totalsRowShown="0">
  <autoFilter ref="A1:E21"/>
  <tableColumns count="5">
    <tableColumn id="1" name="Date" dataDxfId="106"/>
    <tableColumn id="2" name=" Sales "/>
    <tableColumn id="3" name="Forecast( Sales )" dataDxfId="105">
      <calculatedColumnFormula>_xlfn.FORECAST.ETS(A2,$B$2:$B$17,$A$2:$A$17,1,1)</calculatedColumnFormula>
    </tableColumn>
    <tableColumn id="4" name="Lower Confidence Bound( Sales )" dataDxfId="104">
      <calculatedColumnFormula>C2-_xlfn.FORECAST.ETS.CONFINT(A2,$B$2:$B$17,$A$2:$A$17,0.95,1,1)</calculatedColumnFormula>
    </tableColumn>
    <tableColumn id="5" name="Upper Confidence Bound( Sales )" dataDxfId="103">
      <calculatedColumnFormula>C2+_xlfn.FORECAST.ETS.CONFINT(A2,$B$2:$B$17,$A$2:$A$17,0.95,1,1)</calculatedColumnFormula>
    </tableColumn>
  </tableColumns>
  <tableStyleInfo name="TableStyleMedium2" showFirstColumn="0" showLastColumn="0" showRowStripes="1" showColumnStripes="0"/>
</table>
</file>

<file path=xl/tables/table2.xml><?xml version="1.0" encoding="utf-8"?>
<table xmlns="http://schemas.openxmlformats.org/spreadsheetml/2006/main" id="6" name="Table6" displayName="Table6" ref="G1:H8" totalsRowShown="0">
  <autoFilter ref="G1:H8"/>
  <tableColumns count="2">
    <tableColumn id="1" name="Statistic"/>
    <tableColumn id="2" name="Value" dataDxfId="102"/>
  </tableColumns>
  <tableStyleInfo name="TableStyleMedium2" showFirstColumn="0" showLastColumn="0" showRowStripes="1" showColumnStripes="0"/>
</table>
</file>

<file path=xl/tables/table3.xml><?xml version="1.0" encoding="utf-8"?>
<table xmlns="http://schemas.openxmlformats.org/spreadsheetml/2006/main" id="1" name="DATE_TABLE" displayName="DATE_TABLE" ref="A1:I19" totalsRowShown="0" headerRowDxfId="101" dataDxfId="100" tableBorderDxfId="99">
  <autoFilter ref="A1:I19"/>
  <tableColumns count="9">
    <tableColumn id="1" name="Area Code" dataDxfId="98"/>
    <tableColumn id="2" name="Product" dataDxfId="97"/>
    <tableColumn id="3" name="Product Type" dataDxfId="96"/>
    <tableColumn id="4" name="State" dataDxfId="95"/>
    <tableColumn id="5" name="Teritory" dataDxfId="94"/>
    <tableColumn id="6" name="Target Profit" dataDxfId="93"/>
    <tableColumn id="7" name="Profit" dataDxfId="92"/>
    <tableColumn id="8" name="Marked Price" dataDxfId="91"/>
    <tableColumn id="9" name="Date" dataDxfId="90"/>
  </tableColumns>
  <tableStyleInfo name="TableStyleMedium2" showFirstColumn="0" showLastColumn="0" showRowStripes="1" showColumnStripes="0"/>
</table>
</file>

<file path=xl/tables/table4.xml><?xml version="1.0" encoding="utf-8"?>
<table xmlns="http://schemas.openxmlformats.org/spreadsheetml/2006/main" id="2" name="Table2" displayName="Table2" ref="A1:B17" totalsRowShown="0" headerRowDxfId="89" dataDxfId="88" tableBorderDxfId="87">
  <autoFilter ref="A1:B17"/>
  <tableColumns count="2">
    <tableColumn id="1" name="Column1" dataDxfId="86"/>
    <tableColumn id="2" name="Column2" dataDxfId="85"/>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pivotTable" Target="../pivotTables/pivotTable1.xml"/></Relationships>
</file>

<file path=xl/worksheets/_rels/sheet9.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pivotTable" Target="../pivotTables/pivotTable3.xml"/></Relationships>
</file>

<file path=xl/worksheets/_rels/sheet12.xml.rels><?xml version="1.0" encoding="UTF-8" standalone="yes"?>
<Relationships xmlns="http://schemas.openxmlformats.org/package/2006/relationships"><Relationship Id="rId1" Type="http://schemas.openxmlformats.org/officeDocument/2006/relationships/pivotTable" Target="../pivotTables/pivotTable4.xml"/></Relationships>
</file>

<file path=xl/worksheets/_rels/sheet14.xml.rels><?xml version="1.0" encoding="UTF-8" standalone="yes"?>
<Relationships xmlns="http://schemas.openxmlformats.org/package/2006/relationships"><Relationship Id="rId1" Type="http://schemas.openxmlformats.org/officeDocument/2006/relationships/pivotTable" Target="../pivotTables/pivotTable5.xml"/></Relationships>
</file>

<file path=xl/worksheets/_rels/sheet15.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pivotTable" Target="../pivotTables/pivotTable6.xml"/></Relationships>
</file>

<file path=xl/worksheets/_rels/sheet16.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ivotTable" Target="../pivotTables/pivotTable7.xml"/></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8.xml"/></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9.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21.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10.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25.xml.rels><?xml version="1.0" encoding="UTF-8" standalone="yes"?>
<Relationships xmlns="http://schemas.openxmlformats.org/package/2006/relationships"><Relationship Id="rId1" Type="http://schemas.openxmlformats.org/officeDocument/2006/relationships/pivotTable" Target="../pivotTables/pivotTable11.xml"/></Relationships>
</file>

<file path=xl/worksheets/_rels/sheet26.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ivotTable" Target="../pivotTables/pivotTable12.xml"/></Relationships>
</file>

<file path=xl/worksheets/_rels/sheet27.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ivotTable" Target="../pivotTables/pivotTable13.xml"/></Relationships>
</file>

<file path=xl/worksheets/_rels/sheet28.xml.rels><?xml version="1.0" encoding="UTF-8" standalone="yes"?>
<Relationships xmlns="http://schemas.openxmlformats.org/package/2006/relationships"><Relationship Id="rId2" Type="http://schemas.microsoft.com/office/2007/relationships/slicer" Target="../slicers/slicer2.xml"/><Relationship Id="rId1" Type="http://schemas.openxmlformats.org/officeDocument/2006/relationships/drawing" Target="../drawings/drawing11.xml"/></Relationships>
</file>

<file path=xl/worksheets/_rels/sheet29.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ivotTable" Target="../pivotTables/pivotTable14.xml"/></Relationships>
</file>

<file path=xl/worksheets/_rels/sheet35.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drawing" Target="../drawings/drawing13.xml"/></Relationships>
</file>

<file path=xl/worksheets/_rels/sheet37.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7.bin"/></Relationships>
</file>

<file path=xl/worksheets/_rels/sheet38.xml.rels><?xml version="1.0" encoding="UTF-8" standalone="yes"?>
<Relationships xmlns="http://schemas.openxmlformats.org/package/2006/relationships"><Relationship Id="rId1" Type="http://schemas.openxmlformats.org/officeDocument/2006/relationships/table" Target="../tables/table4.xml"/></Relationships>
</file>

<file path=xl/worksheets/_rels/sheet4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4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E20"/>
  <sheetViews>
    <sheetView workbookViewId="0"/>
  </sheetViews>
  <sheetFormatPr defaultRowHeight="15" x14ac:dyDescent="0.25"/>
  <cols>
    <col min="2" max="2" width="11.5703125" style="1" bestFit="1" customWidth="1"/>
  </cols>
  <sheetData>
    <row r="1" spans="1:2" x14ac:dyDescent="0.25">
      <c r="A1" t="s">
        <v>0</v>
      </c>
      <c r="B1" s="1" t="s">
        <v>1</v>
      </c>
    </row>
    <row r="2" spans="1:2" x14ac:dyDescent="0.25">
      <c r="A2">
        <v>2018</v>
      </c>
      <c r="B2" s="1">
        <v>10000</v>
      </c>
    </row>
    <row r="3" spans="1:2" x14ac:dyDescent="0.25">
      <c r="A3">
        <v>2019</v>
      </c>
      <c r="B3" s="1">
        <v>12000</v>
      </c>
    </row>
    <row r="4" spans="1:2" x14ac:dyDescent="0.25">
      <c r="A4">
        <v>2020</v>
      </c>
      <c r="B4" s="1">
        <v>14000</v>
      </c>
    </row>
    <row r="5" spans="1:2" x14ac:dyDescent="0.25">
      <c r="A5">
        <v>2021</v>
      </c>
      <c r="B5" s="1">
        <v>15000</v>
      </c>
    </row>
    <row r="6" spans="1:2" x14ac:dyDescent="0.25">
      <c r="A6">
        <v>2022</v>
      </c>
      <c r="B6" s="1">
        <v>18000</v>
      </c>
    </row>
    <row r="8" spans="1:2" x14ac:dyDescent="0.25">
      <c r="B8" s="1">
        <f>SUM(B2:B6)</f>
        <v>69000</v>
      </c>
    </row>
    <row r="9" spans="1:2" x14ac:dyDescent="0.25">
      <c r="A9" t="s">
        <v>2</v>
      </c>
      <c r="B9" s="1">
        <f>SUM(B2:B6)</f>
        <v>69000</v>
      </c>
    </row>
    <row r="11" spans="1:2" x14ac:dyDescent="0.25">
      <c r="A11" t="s">
        <v>3</v>
      </c>
      <c r="B11" s="1">
        <f>AVERAGE(B2:B6)</f>
        <v>13800</v>
      </c>
    </row>
    <row r="12" spans="1:2" x14ac:dyDescent="0.25">
      <c r="A12" t="s">
        <v>4</v>
      </c>
      <c r="B12" s="1">
        <f>MIN(B2:B6)</f>
        <v>10000</v>
      </c>
    </row>
    <row r="13" spans="1:2" x14ac:dyDescent="0.25">
      <c r="A13" t="s">
        <v>5</v>
      </c>
      <c r="B13" s="1">
        <f>MAX(B2:B6)</f>
        <v>18000</v>
      </c>
    </row>
    <row r="15" spans="1:2" x14ac:dyDescent="0.25">
      <c r="A15" t="s">
        <v>6</v>
      </c>
    </row>
    <row r="18" spans="2:5" x14ac:dyDescent="0.25">
      <c r="B18" s="1">
        <f>SUM(B2:B13, Sheet2!B2:B8)</f>
        <v>368800</v>
      </c>
      <c r="E18" t="e">
        <f>COUN</f>
        <v>#NAME?</v>
      </c>
    </row>
    <row r="20" spans="2:5" x14ac:dyDescent="0.25">
      <c r="B20" s="1" t="e">
        <f>COUN</f>
        <v>#NAME?</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B1:B10"/>
  <sheetViews>
    <sheetView workbookViewId="0"/>
  </sheetViews>
  <sheetFormatPr defaultRowHeight="15" x14ac:dyDescent="0.25"/>
  <cols>
    <col min="2" max="2" width="11.5703125" style="2" bestFit="1" customWidth="1"/>
  </cols>
  <sheetData>
    <row r="1" spans="2:2" x14ac:dyDescent="0.25">
      <c r="B1" s="2" t="s">
        <v>7</v>
      </c>
    </row>
    <row r="2" spans="2:2" x14ac:dyDescent="0.25">
      <c r="B2" s="2">
        <v>15000</v>
      </c>
    </row>
    <row r="3" spans="2:2" x14ac:dyDescent="0.25">
      <c r="B3" s="2">
        <v>16000</v>
      </c>
    </row>
    <row r="4" spans="2:2" x14ac:dyDescent="0.25">
      <c r="B4" s="2">
        <v>17000</v>
      </c>
    </row>
    <row r="5" spans="2:2" x14ac:dyDescent="0.25">
      <c r="B5" s="2">
        <v>18000</v>
      </c>
    </row>
    <row r="6" spans="2:2" x14ac:dyDescent="0.25">
      <c r="B6" s="2">
        <v>19000</v>
      </c>
    </row>
    <row r="7" spans="2:2" x14ac:dyDescent="0.25">
      <c r="B7" s="2">
        <v>20000</v>
      </c>
    </row>
    <row r="8" spans="2:2" x14ac:dyDescent="0.25">
      <c r="B8" s="2">
        <v>15000</v>
      </c>
    </row>
    <row r="10" spans="2:2" x14ac:dyDescent="0.25">
      <c r="B10" s="2" t="e">
        <f>sum</f>
        <v>#NAME?</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4:H20"/>
  <sheetViews>
    <sheetView workbookViewId="0"/>
  </sheetViews>
  <sheetFormatPr defaultRowHeight="15" x14ac:dyDescent="0.25"/>
  <cols>
    <col min="1" max="1" width="27.5703125" customWidth="1"/>
    <col min="2" max="2" width="17.85546875" customWidth="1"/>
    <col min="3" max="3" width="10.140625" style="7" bestFit="1" customWidth="1"/>
    <col min="4" max="4" width="12.85546875" style="7" customWidth="1"/>
    <col min="5" max="5" width="12.5703125" customWidth="1"/>
    <col min="6" max="6" width="15.7109375" style="7" customWidth="1"/>
    <col min="7" max="7" width="19.7109375" bestFit="1" customWidth="1"/>
  </cols>
  <sheetData>
    <row r="4" spans="1:8" x14ac:dyDescent="0.25">
      <c r="A4" s="3" t="s">
        <v>8</v>
      </c>
      <c r="B4" s="3" t="s">
        <v>9</v>
      </c>
      <c r="C4" s="6" t="s">
        <v>33</v>
      </c>
      <c r="D4" s="6" t="s">
        <v>10</v>
      </c>
      <c r="E4" s="3" t="s">
        <v>11</v>
      </c>
      <c r="F4" s="6" t="s">
        <v>12</v>
      </c>
      <c r="G4" s="3" t="s">
        <v>35</v>
      </c>
      <c r="H4" s="3" t="s">
        <v>34</v>
      </c>
    </row>
    <row r="5" spans="1:8" x14ac:dyDescent="0.25">
      <c r="A5" t="s">
        <v>13</v>
      </c>
      <c r="B5" t="s">
        <v>19</v>
      </c>
      <c r="C5" s="7">
        <v>1600</v>
      </c>
      <c r="D5" s="7">
        <v>2500</v>
      </c>
      <c r="E5">
        <f>(D5 * H5)</f>
        <v>50</v>
      </c>
      <c r="F5" s="7">
        <f t="shared" ref="F5:F10" si="0">(C5 + E5)</f>
        <v>1650</v>
      </c>
      <c r="G5" s="3" t="s">
        <v>36</v>
      </c>
      <c r="H5" s="4">
        <v>0.02</v>
      </c>
    </row>
    <row r="6" spans="1:8" x14ac:dyDescent="0.25">
      <c r="A6" t="s">
        <v>14</v>
      </c>
      <c r="B6" t="s">
        <v>20</v>
      </c>
      <c r="C6" s="7">
        <v>1800</v>
      </c>
      <c r="D6" s="7">
        <v>3000</v>
      </c>
      <c r="E6">
        <f>(D6 * H5)</f>
        <v>60</v>
      </c>
      <c r="F6" s="7">
        <f t="shared" si="0"/>
        <v>1860</v>
      </c>
    </row>
    <row r="7" spans="1:8" x14ac:dyDescent="0.25">
      <c r="A7" t="s">
        <v>15</v>
      </c>
      <c r="B7" t="s">
        <v>21</v>
      </c>
      <c r="C7" s="7">
        <v>1500</v>
      </c>
      <c r="D7" s="7">
        <v>2200</v>
      </c>
      <c r="E7">
        <f>(D7 * H5)</f>
        <v>44</v>
      </c>
      <c r="F7" s="7">
        <f t="shared" si="0"/>
        <v>1544</v>
      </c>
    </row>
    <row r="8" spans="1:8" x14ac:dyDescent="0.25">
      <c r="A8" t="s">
        <v>16</v>
      </c>
      <c r="B8" t="s">
        <v>22</v>
      </c>
      <c r="C8" s="7">
        <v>2000</v>
      </c>
      <c r="D8" s="7">
        <v>4500</v>
      </c>
      <c r="E8">
        <f>(D8 * H5)</f>
        <v>90</v>
      </c>
      <c r="F8" s="7">
        <f t="shared" si="0"/>
        <v>2090</v>
      </c>
    </row>
    <row r="9" spans="1:8" x14ac:dyDescent="0.25">
      <c r="A9" t="s">
        <v>17</v>
      </c>
      <c r="B9" t="s">
        <v>23</v>
      </c>
      <c r="C9" s="7">
        <v>1700</v>
      </c>
      <c r="D9" s="7">
        <v>3500</v>
      </c>
      <c r="E9">
        <f>(D9 * H5)</f>
        <v>70</v>
      </c>
      <c r="F9" s="7">
        <f t="shared" si="0"/>
        <v>1770</v>
      </c>
    </row>
    <row r="10" spans="1:8" x14ac:dyDescent="0.25">
      <c r="A10" t="s">
        <v>18</v>
      </c>
      <c r="B10" t="s">
        <v>24</v>
      </c>
      <c r="C10" s="7">
        <v>1600</v>
      </c>
      <c r="D10" s="7">
        <v>2500</v>
      </c>
      <c r="E10">
        <f>(D10 * H5)</f>
        <v>50</v>
      </c>
      <c r="F10" s="7">
        <f t="shared" si="0"/>
        <v>1650</v>
      </c>
    </row>
    <row r="12" spans="1:8" x14ac:dyDescent="0.25">
      <c r="A12" s="3" t="s">
        <v>25</v>
      </c>
      <c r="C12" s="7">
        <f>SUM(C5:C10)</f>
        <v>10200</v>
      </c>
    </row>
    <row r="13" spans="1:8" x14ac:dyDescent="0.25">
      <c r="A13" s="3" t="s">
        <v>26</v>
      </c>
      <c r="C13" s="7">
        <f>AVERAGE(C5:C10)</f>
        <v>1700</v>
      </c>
    </row>
    <row r="14" spans="1:8" x14ac:dyDescent="0.25">
      <c r="A14" s="3" t="s">
        <v>27</v>
      </c>
      <c r="C14" s="7">
        <f>MAX(C5:C10)</f>
        <v>2000</v>
      </c>
    </row>
    <row r="15" spans="1:8" x14ac:dyDescent="0.25">
      <c r="A15" s="3" t="s">
        <v>28</v>
      </c>
      <c r="C15" s="7">
        <f>MIN(C5:C10)</f>
        <v>1500</v>
      </c>
    </row>
    <row r="16" spans="1:8" x14ac:dyDescent="0.25">
      <c r="A16" s="3" t="s">
        <v>29</v>
      </c>
      <c r="C16" s="7">
        <f>COUNT(C5:C10)</f>
        <v>6</v>
      </c>
    </row>
    <row r="18" spans="1:1" x14ac:dyDescent="0.25">
      <c r="A18" s="3" t="s">
        <v>30</v>
      </c>
    </row>
    <row r="19" spans="1:1" x14ac:dyDescent="0.25">
      <c r="A19" s="3" t="s">
        <v>31</v>
      </c>
    </row>
    <row r="20" spans="1:1" x14ac:dyDescent="0.25">
      <c r="A20" s="3" t="s">
        <v>32</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H21"/>
  <sheetViews>
    <sheetView workbookViewId="0"/>
  </sheetViews>
  <sheetFormatPr defaultRowHeight="15" x14ac:dyDescent="0.25"/>
  <cols>
    <col min="1" max="1" width="18.5703125" style="13" customWidth="1"/>
    <col min="2" max="2" width="13.28515625" style="9" customWidth="1"/>
    <col min="3" max="3" width="18.5703125" style="11" customWidth="1"/>
    <col min="4" max="4" width="11.140625" style="18" customWidth="1"/>
    <col min="6" max="6" width="19.42578125" style="9" bestFit="1" customWidth="1"/>
    <col min="7" max="7" width="18.7109375" style="14" bestFit="1" customWidth="1"/>
    <col min="8" max="8" width="19.42578125" bestFit="1" customWidth="1"/>
  </cols>
  <sheetData>
    <row r="1" spans="1:8" s="5" customFormat="1" x14ac:dyDescent="0.25">
      <c r="A1" s="12" t="s">
        <v>37</v>
      </c>
      <c r="B1" s="8" t="s">
        <v>33</v>
      </c>
      <c r="C1" s="10" t="s">
        <v>38</v>
      </c>
      <c r="D1" s="17" t="s">
        <v>39</v>
      </c>
      <c r="F1" s="15" t="s">
        <v>39</v>
      </c>
      <c r="G1" s="16" t="s">
        <v>61</v>
      </c>
    </row>
    <row r="2" spans="1:8" x14ac:dyDescent="0.25">
      <c r="A2" s="13" t="s">
        <v>40</v>
      </c>
      <c r="B2" s="9">
        <v>60981</v>
      </c>
      <c r="C2" s="11">
        <v>1</v>
      </c>
      <c r="D2" s="18">
        <f>IF(C2=5,$F$2,IF(C2=4,$F$3,IF(C2=3,$F$4,IF(C2=2,$F$5,$F$6))))</f>
        <v>150</v>
      </c>
      <c r="F2" s="9">
        <v>4000</v>
      </c>
      <c r="G2" s="14">
        <v>5</v>
      </c>
      <c r="H2" t="s">
        <v>60</v>
      </c>
    </row>
    <row r="3" spans="1:8" x14ac:dyDescent="0.25">
      <c r="A3" s="13" t="s">
        <v>41</v>
      </c>
      <c r="B3" s="9">
        <v>60915</v>
      </c>
      <c r="C3" s="11">
        <v>2</v>
      </c>
      <c r="D3" s="18">
        <f t="shared" ref="D3:D21" si="0">IF(C3=5,$F$2,IF(C3=4,$F$3,IF(C3=3,$F$4,IF(C3=2,$F$5,100))))</f>
        <v>500</v>
      </c>
      <c r="F3" s="9">
        <v>2500</v>
      </c>
      <c r="G3" s="14">
        <v>4</v>
      </c>
    </row>
    <row r="4" spans="1:8" x14ac:dyDescent="0.25">
      <c r="A4" s="13" t="s">
        <v>42</v>
      </c>
      <c r="B4" s="9">
        <v>97071</v>
      </c>
      <c r="C4" s="11">
        <v>3</v>
      </c>
      <c r="D4" s="18">
        <f t="shared" si="0"/>
        <v>1000</v>
      </c>
      <c r="F4" s="9">
        <v>1000</v>
      </c>
      <c r="G4" s="14">
        <v>3</v>
      </c>
    </row>
    <row r="5" spans="1:8" x14ac:dyDescent="0.25">
      <c r="A5" s="13" t="s">
        <v>43</v>
      </c>
      <c r="B5" s="9">
        <v>115421</v>
      </c>
      <c r="C5" s="11">
        <v>4</v>
      </c>
      <c r="D5" s="18">
        <f t="shared" si="0"/>
        <v>2500</v>
      </c>
      <c r="F5" s="9">
        <v>500</v>
      </c>
      <c r="G5" s="14">
        <v>2</v>
      </c>
    </row>
    <row r="6" spans="1:8" x14ac:dyDescent="0.25">
      <c r="A6" s="13" t="s">
        <v>44</v>
      </c>
      <c r="B6" s="9">
        <v>115547</v>
      </c>
      <c r="C6" s="11">
        <v>2</v>
      </c>
      <c r="D6" s="18">
        <f t="shared" si="0"/>
        <v>500</v>
      </c>
      <c r="F6" s="9">
        <v>150</v>
      </c>
      <c r="G6" s="14">
        <v>1</v>
      </c>
    </row>
    <row r="7" spans="1:8" x14ac:dyDescent="0.25">
      <c r="A7" s="13" t="s">
        <v>45</v>
      </c>
      <c r="B7" s="9">
        <v>69212</v>
      </c>
      <c r="C7" s="11">
        <v>5</v>
      </c>
      <c r="D7" s="18">
        <f t="shared" si="0"/>
        <v>4000</v>
      </c>
    </row>
    <row r="8" spans="1:8" x14ac:dyDescent="0.25">
      <c r="A8" s="13" t="s">
        <v>46</v>
      </c>
      <c r="B8" s="9">
        <v>120198</v>
      </c>
      <c r="C8" s="11">
        <v>2</v>
      </c>
      <c r="D8" s="18">
        <f t="shared" si="0"/>
        <v>500</v>
      </c>
    </row>
    <row r="9" spans="1:8" x14ac:dyDescent="0.25">
      <c r="A9" s="13" t="s">
        <v>47</v>
      </c>
      <c r="B9" s="9">
        <v>107635</v>
      </c>
      <c r="C9" s="11">
        <v>4</v>
      </c>
      <c r="D9" s="18">
        <f t="shared" si="0"/>
        <v>2500</v>
      </c>
    </row>
    <row r="10" spans="1:8" x14ac:dyDescent="0.25">
      <c r="A10" s="13" t="s">
        <v>48</v>
      </c>
      <c r="B10" s="9">
        <v>113020</v>
      </c>
      <c r="C10" s="11">
        <v>3</v>
      </c>
      <c r="D10" s="18">
        <f t="shared" si="0"/>
        <v>1000</v>
      </c>
      <c r="F10" s="9" t="e">
        <f>m</f>
        <v>#NAME?</v>
      </c>
    </row>
    <row r="11" spans="1:8" x14ac:dyDescent="0.25">
      <c r="A11" s="13" t="s">
        <v>49</v>
      </c>
      <c r="B11" s="9">
        <v>82341</v>
      </c>
      <c r="C11" s="11">
        <v>1</v>
      </c>
      <c r="D11" s="18">
        <f t="shared" si="0"/>
        <v>100</v>
      </c>
    </row>
    <row r="12" spans="1:8" x14ac:dyDescent="0.25">
      <c r="A12" s="13" t="s">
        <v>50</v>
      </c>
      <c r="B12" s="9">
        <v>98598</v>
      </c>
      <c r="C12" s="11">
        <v>1</v>
      </c>
      <c r="D12" s="18">
        <f t="shared" si="0"/>
        <v>100</v>
      </c>
    </row>
    <row r="13" spans="1:8" x14ac:dyDescent="0.25">
      <c r="A13" s="13" t="s">
        <v>51</v>
      </c>
      <c r="B13" s="9">
        <v>46350</v>
      </c>
      <c r="C13" s="11">
        <v>1</v>
      </c>
      <c r="D13" s="18">
        <f t="shared" si="0"/>
        <v>100</v>
      </c>
    </row>
    <row r="14" spans="1:8" x14ac:dyDescent="0.25">
      <c r="A14" s="13" t="s">
        <v>52</v>
      </c>
      <c r="B14" s="9">
        <v>61076</v>
      </c>
      <c r="C14" s="11">
        <v>2</v>
      </c>
      <c r="D14" s="18">
        <f t="shared" si="0"/>
        <v>500</v>
      </c>
    </row>
    <row r="15" spans="1:8" x14ac:dyDescent="0.25">
      <c r="A15" s="13" t="s">
        <v>53</v>
      </c>
      <c r="B15" s="9">
        <v>107968</v>
      </c>
      <c r="C15" s="11">
        <v>3</v>
      </c>
      <c r="D15" s="18">
        <f t="shared" si="0"/>
        <v>1000</v>
      </c>
    </row>
    <row r="16" spans="1:8" x14ac:dyDescent="0.25">
      <c r="A16" s="13" t="s">
        <v>54</v>
      </c>
      <c r="B16" s="9">
        <v>102146</v>
      </c>
      <c r="C16" s="11">
        <v>5</v>
      </c>
      <c r="D16" s="18">
        <f t="shared" si="0"/>
        <v>4000</v>
      </c>
    </row>
    <row r="17" spans="1:4" x14ac:dyDescent="0.25">
      <c r="A17" s="13" t="s">
        <v>55</v>
      </c>
      <c r="B17" s="9">
        <v>46009</v>
      </c>
      <c r="C17" s="11">
        <v>4</v>
      </c>
      <c r="D17" s="18">
        <f t="shared" si="0"/>
        <v>2500</v>
      </c>
    </row>
    <row r="18" spans="1:4" x14ac:dyDescent="0.25">
      <c r="A18" s="13" t="s">
        <v>56</v>
      </c>
      <c r="B18" s="9">
        <v>53399</v>
      </c>
      <c r="C18" s="11">
        <v>3</v>
      </c>
      <c r="D18" s="18">
        <f t="shared" si="0"/>
        <v>1000</v>
      </c>
    </row>
    <row r="19" spans="1:4" x14ac:dyDescent="0.25">
      <c r="A19" s="13" t="s">
        <v>57</v>
      </c>
      <c r="B19" s="9">
        <v>45419</v>
      </c>
      <c r="C19" s="11">
        <v>4</v>
      </c>
      <c r="D19" s="18">
        <f t="shared" si="0"/>
        <v>2500</v>
      </c>
    </row>
    <row r="20" spans="1:4" x14ac:dyDescent="0.25">
      <c r="A20" s="13" t="s">
        <v>58</v>
      </c>
      <c r="B20" s="9">
        <v>60038</v>
      </c>
      <c r="C20" s="11">
        <v>2</v>
      </c>
      <c r="D20" s="18">
        <f t="shared" si="0"/>
        <v>500</v>
      </c>
    </row>
    <row r="21" spans="1:4" x14ac:dyDescent="0.25">
      <c r="A21" s="13" t="s">
        <v>59</v>
      </c>
      <c r="B21" s="9">
        <v>46163</v>
      </c>
      <c r="C21" s="11">
        <v>1</v>
      </c>
      <c r="D21" s="18">
        <f t="shared" si="0"/>
        <v>100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I18"/>
  <sheetViews>
    <sheetView workbookViewId="0">
      <selection sqref="A1:G1"/>
    </sheetView>
  </sheetViews>
  <sheetFormatPr defaultRowHeight="15" x14ac:dyDescent="0.25"/>
  <cols>
    <col min="1" max="1" width="13.7109375" customWidth="1"/>
    <col min="2" max="2" width="15.5703125" style="14" customWidth="1"/>
    <col min="3" max="3" width="12.140625" style="9" customWidth="1"/>
    <col min="4" max="4" width="9.140625" style="9"/>
    <col min="5" max="6" width="25.7109375" customWidth="1"/>
    <col min="7" max="7" width="25.7109375" style="29" customWidth="1"/>
    <col min="8" max="8" width="23.85546875" bestFit="1" customWidth="1"/>
  </cols>
  <sheetData>
    <row r="1" spans="1:9" s="3" customFormat="1" ht="15.75" thickBot="1" x14ac:dyDescent="0.3">
      <c r="A1" s="132" t="s">
        <v>99</v>
      </c>
      <c r="B1" s="133"/>
      <c r="C1" s="133"/>
      <c r="D1" s="133"/>
      <c r="E1" s="133"/>
      <c r="F1" s="133"/>
      <c r="G1" s="134"/>
    </row>
    <row r="2" spans="1:9" s="30" customFormat="1" x14ac:dyDescent="0.25">
      <c r="A2" s="36" t="s">
        <v>62</v>
      </c>
      <c r="B2" s="37" t="s">
        <v>63</v>
      </c>
      <c r="C2" s="38" t="s">
        <v>64</v>
      </c>
      <c r="D2" s="38" t="s">
        <v>65</v>
      </c>
      <c r="E2" s="36" t="s">
        <v>66</v>
      </c>
      <c r="F2" s="36" t="s">
        <v>67</v>
      </c>
      <c r="G2" s="36" t="s">
        <v>68</v>
      </c>
    </row>
    <row r="3" spans="1:9" x14ac:dyDescent="0.25">
      <c r="A3" s="31">
        <v>1001</v>
      </c>
      <c r="B3" s="32">
        <v>115</v>
      </c>
      <c r="C3" s="33">
        <v>30</v>
      </c>
      <c r="D3" s="33">
        <f>IF(C3&lt;$H$5,$I$5,$I$6)</f>
        <v>50</v>
      </c>
      <c r="E3" s="31">
        <f>(B3*C3)</f>
        <v>3450</v>
      </c>
      <c r="F3" s="33">
        <f>E3+D3</f>
        <v>3500</v>
      </c>
      <c r="G3" s="34" t="str">
        <f>IF(F3&gt;3500,"HIGH","REASONABLE")</f>
        <v>REASONABLE</v>
      </c>
    </row>
    <row r="4" spans="1:9" x14ac:dyDescent="0.25">
      <c r="A4" s="31">
        <v>1002</v>
      </c>
      <c r="B4" s="32">
        <v>256</v>
      </c>
      <c r="C4" s="33">
        <v>12</v>
      </c>
      <c r="D4" s="33">
        <f t="shared" ref="D4:D10" si="0">IF(C4&lt;$H$5,$I$5,$I$6)</f>
        <v>50</v>
      </c>
      <c r="E4" s="31">
        <f t="shared" ref="E4:E10" si="1">(B4*C4)</f>
        <v>3072</v>
      </c>
      <c r="F4" s="33">
        <f t="shared" ref="F4:F10" si="2">E4+D4</f>
        <v>3122</v>
      </c>
      <c r="G4" s="34" t="str">
        <f t="shared" ref="G4:G10" si="3">IF(F4&gt;3500,"HIGH","REASONABLE")</f>
        <v>REASONABLE</v>
      </c>
      <c r="H4" s="3" t="s">
        <v>73</v>
      </c>
      <c r="I4" s="3" t="s">
        <v>74</v>
      </c>
    </row>
    <row r="5" spans="1:9" x14ac:dyDescent="0.25">
      <c r="A5" s="31">
        <v>1003</v>
      </c>
      <c r="B5" s="32">
        <v>49</v>
      </c>
      <c r="C5" s="33">
        <v>56</v>
      </c>
      <c r="D5" s="33">
        <f t="shared" si="0"/>
        <v>50</v>
      </c>
      <c r="E5" s="31">
        <f t="shared" si="1"/>
        <v>2744</v>
      </c>
      <c r="F5" s="33">
        <f t="shared" si="2"/>
        <v>2794</v>
      </c>
      <c r="G5" s="34" t="str">
        <f t="shared" si="3"/>
        <v>REASONABLE</v>
      </c>
      <c r="H5" s="19">
        <v>100</v>
      </c>
      <c r="I5">
        <v>50</v>
      </c>
    </row>
    <row r="6" spans="1:9" x14ac:dyDescent="0.25">
      <c r="A6" s="31">
        <v>1004</v>
      </c>
      <c r="B6" s="32">
        <v>23</v>
      </c>
      <c r="C6" s="33">
        <v>150</v>
      </c>
      <c r="D6" s="33">
        <f t="shared" si="0"/>
        <v>100</v>
      </c>
      <c r="E6" s="31">
        <f t="shared" si="1"/>
        <v>3450</v>
      </c>
      <c r="F6" s="33">
        <f t="shared" si="2"/>
        <v>3550</v>
      </c>
      <c r="G6" s="34" t="str">
        <f t="shared" si="3"/>
        <v>HIGH</v>
      </c>
      <c r="H6" t="s">
        <v>75</v>
      </c>
      <c r="I6">
        <v>100</v>
      </c>
    </row>
    <row r="7" spans="1:9" x14ac:dyDescent="0.25">
      <c r="A7" s="31">
        <v>1005</v>
      </c>
      <c r="B7" s="32">
        <v>840</v>
      </c>
      <c r="C7" s="33">
        <v>5</v>
      </c>
      <c r="D7" s="33">
        <f t="shared" si="0"/>
        <v>50</v>
      </c>
      <c r="E7" s="31">
        <f t="shared" si="1"/>
        <v>4200</v>
      </c>
      <c r="F7" s="33">
        <f t="shared" si="2"/>
        <v>4250</v>
      </c>
      <c r="G7" s="34" t="str">
        <f t="shared" si="3"/>
        <v>HIGH</v>
      </c>
    </row>
    <row r="8" spans="1:9" x14ac:dyDescent="0.25">
      <c r="A8" s="31">
        <v>1006</v>
      </c>
      <c r="B8" s="32">
        <v>200</v>
      </c>
      <c r="C8" s="33">
        <v>56</v>
      </c>
      <c r="D8" s="33">
        <f t="shared" si="0"/>
        <v>50</v>
      </c>
      <c r="E8" s="31">
        <f t="shared" si="1"/>
        <v>11200</v>
      </c>
      <c r="F8" s="33">
        <f t="shared" si="2"/>
        <v>11250</v>
      </c>
      <c r="G8" s="34" t="str">
        <f t="shared" si="3"/>
        <v>HIGH</v>
      </c>
    </row>
    <row r="9" spans="1:9" x14ac:dyDescent="0.25">
      <c r="A9" s="31">
        <v>1007</v>
      </c>
      <c r="B9" s="32">
        <v>294</v>
      </c>
      <c r="C9" s="33">
        <v>300</v>
      </c>
      <c r="D9" s="33">
        <f t="shared" si="0"/>
        <v>100</v>
      </c>
      <c r="E9" s="31">
        <f t="shared" si="1"/>
        <v>88200</v>
      </c>
      <c r="F9" s="33">
        <f t="shared" si="2"/>
        <v>88300</v>
      </c>
      <c r="G9" s="34" t="str">
        <f t="shared" si="3"/>
        <v>HIGH</v>
      </c>
    </row>
    <row r="10" spans="1:9" x14ac:dyDescent="0.25">
      <c r="A10" s="31">
        <v>1008</v>
      </c>
      <c r="B10" s="32">
        <v>4</v>
      </c>
      <c r="C10" s="33">
        <v>90</v>
      </c>
      <c r="D10" s="33">
        <f t="shared" si="0"/>
        <v>50</v>
      </c>
      <c r="E10" s="31">
        <f t="shared" si="1"/>
        <v>360</v>
      </c>
      <c r="F10" s="33">
        <f t="shared" si="2"/>
        <v>410</v>
      </c>
      <c r="G10" s="34" t="str">
        <f t="shared" si="3"/>
        <v>REASONABLE</v>
      </c>
    </row>
    <row r="12" spans="1:9" x14ac:dyDescent="0.25">
      <c r="A12" s="3" t="s">
        <v>69</v>
      </c>
      <c r="B12" s="14">
        <f>COUNT(A3:A10)</f>
        <v>8</v>
      </c>
    </row>
    <row r="13" spans="1:9" x14ac:dyDescent="0.25">
      <c r="A13" s="3" t="s">
        <v>70</v>
      </c>
      <c r="B13" s="14">
        <f>AVERAGE(D3:D10)</f>
        <v>62.5</v>
      </c>
      <c r="H13" s="35">
        <v>44599</v>
      </c>
    </row>
    <row r="14" spans="1:9" x14ac:dyDescent="0.25">
      <c r="A14" s="3" t="s">
        <v>71</v>
      </c>
      <c r="B14" s="14">
        <f>MIN(C3:C10)</f>
        <v>5</v>
      </c>
    </row>
    <row r="15" spans="1:9" x14ac:dyDescent="0.25">
      <c r="A15" s="3" t="s">
        <v>72</v>
      </c>
      <c r="B15" s="14">
        <f>MAX(C3:C10)</f>
        <v>300</v>
      </c>
    </row>
    <row r="16" spans="1:9" x14ac:dyDescent="0.25">
      <c r="B16" s="14">
        <f>PRODUCT(B15,B14)</f>
        <v>1500</v>
      </c>
    </row>
    <row r="18" spans="2:2" x14ac:dyDescent="0.25">
      <c r="B18" s="14">
        <v>44811</v>
      </c>
    </row>
  </sheetData>
  <mergeCells count="1">
    <mergeCell ref="A1:G1"/>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I21"/>
  <sheetViews>
    <sheetView topLeftCell="B1" workbookViewId="0"/>
  </sheetViews>
  <sheetFormatPr defaultRowHeight="15" x14ac:dyDescent="0.25"/>
  <cols>
    <col min="1" max="1" width="15.85546875" customWidth="1"/>
    <col min="2" max="2" width="14" customWidth="1"/>
    <col min="3" max="3" width="14.42578125" customWidth="1"/>
    <col min="4" max="4" width="14.7109375" style="22" customWidth="1"/>
    <col min="5" max="5" width="13.28515625" style="24" customWidth="1"/>
    <col min="6" max="6" width="13.140625" style="25" customWidth="1"/>
  </cols>
  <sheetData>
    <row r="1" spans="1:9" x14ac:dyDescent="0.25">
      <c r="A1" s="20" t="s">
        <v>76</v>
      </c>
      <c r="B1" s="20" t="s">
        <v>80</v>
      </c>
      <c r="C1" s="20" t="s">
        <v>89</v>
      </c>
      <c r="D1" s="21" t="s">
        <v>77</v>
      </c>
      <c r="E1" s="23" t="s">
        <v>78</v>
      </c>
      <c r="F1" s="26" t="s">
        <v>79</v>
      </c>
    </row>
    <row r="2" spans="1:9" x14ac:dyDescent="0.25">
      <c r="A2" t="s">
        <v>81</v>
      </c>
      <c r="B2" t="s">
        <v>85</v>
      </c>
      <c r="C2">
        <v>2013</v>
      </c>
      <c r="D2" s="22">
        <v>15040</v>
      </c>
      <c r="E2" s="24">
        <v>12602</v>
      </c>
      <c r="F2" s="25">
        <f>E2-D2</f>
        <v>-2438</v>
      </c>
      <c r="H2" s="28" t="s">
        <v>90</v>
      </c>
      <c r="I2" s="28" t="s">
        <v>76</v>
      </c>
    </row>
    <row r="3" spans="1:9" x14ac:dyDescent="0.25">
      <c r="A3" t="s">
        <v>81</v>
      </c>
      <c r="B3" t="s">
        <v>86</v>
      </c>
      <c r="C3">
        <v>2013</v>
      </c>
      <c r="D3" s="22">
        <v>15920</v>
      </c>
      <c r="E3" s="24">
        <v>17506</v>
      </c>
      <c r="F3" s="25">
        <f t="shared" ref="F3:F16" si="0">E3-D3</f>
        <v>1586</v>
      </c>
      <c r="H3" s="28">
        <v>2013</v>
      </c>
      <c r="I3" s="28" t="s">
        <v>82</v>
      </c>
    </row>
    <row r="4" spans="1:9" x14ac:dyDescent="0.25">
      <c r="A4" t="s">
        <v>81</v>
      </c>
      <c r="B4" t="s">
        <v>87</v>
      </c>
      <c r="C4">
        <v>2013</v>
      </c>
      <c r="D4" s="22">
        <v>9600</v>
      </c>
      <c r="E4" s="24">
        <v>11593</v>
      </c>
      <c r="F4" s="25">
        <f t="shared" si="0"/>
        <v>1993</v>
      </c>
    </row>
    <row r="5" spans="1:9" x14ac:dyDescent="0.25">
      <c r="A5" t="s">
        <v>82</v>
      </c>
      <c r="B5" t="s">
        <v>88</v>
      </c>
      <c r="C5">
        <v>2013</v>
      </c>
      <c r="D5" s="22">
        <v>4780</v>
      </c>
      <c r="E5" s="24">
        <v>7750</v>
      </c>
      <c r="F5" s="25">
        <f t="shared" si="0"/>
        <v>2970</v>
      </c>
    </row>
    <row r="6" spans="1:9" x14ac:dyDescent="0.25">
      <c r="A6" t="s">
        <v>82</v>
      </c>
      <c r="B6" t="s">
        <v>85</v>
      </c>
      <c r="C6">
        <v>2013</v>
      </c>
      <c r="D6" s="22">
        <v>8150</v>
      </c>
      <c r="E6" s="24">
        <v>8446</v>
      </c>
      <c r="F6" s="25">
        <f t="shared" si="0"/>
        <v>296</v>
      </c>
      <c r="H6" t="s">
        <v>91</v>
      </c>
    </row>
    <row r="7" spans="1:9" x14ac:dyDescent="0.25">
      <c r="A7" t="s">
        <v>82</v>
      </c>
      <c r="B7" t="s">
        <v>86</v>
      </c>
      <c r="C7">
        <v>2013</v>
      </c>
      <c r="D7" s="22">
        <v>5070</v>
      </c>
      <c r="E7" s="24">
        <v>4426</v>
      </c>
      <c r="F7" s="25">
        <f t="shared" si="0"/>
        <v>-644</v>
      </c>
      <c r="H7">
        <f>SUMIFS(E2:E16,C2:C16,H3,A2:A16,I3)</f>
        <v>27699</v>
      </c>
    </row>
    <row r="8" spans="1:9" x14ac:dyDescent="0.25">
      <c r="A8" t="s">
        <v>82</v>
      </c>
      <c r="B8" t="s">
        <v>87</v>
      </c>
      <c r="C8">
        <v>2013</v>
      </c>
      <c r="D8" s="22">
        <v>5800</v>
      </c>
      <c r="E8" s="24">
        <v>7077</v>
      </c>
      <c r="F8" s="25">
        <f t="shared" si="0"/>
        <v>1277</v>
      </c>
    </row>
    <row r="9" spans="1:9" x14ac:dyDescent="0.25">
      <c r="A9" t="s">
        <v>83</v>
      </c>
      <c r="B9" t="s">
        <v>88</v>
      </c>
      <c r="C9">
        <v>2013</v>
      </c>
      <c r="D9" s="22">
        <v>3620</v>
      </c>
      <c r="E9" s="24">
        <v>4671</v>
      </c>
      <c r="F9" s="25">
        <f t="shared" si="0"/>
        <v>1051</v>
      </c>
      <c r="H9" t="s">
        <v>92</v>
      </c>
    </row>
    <row r="10" spans="1:9" x14ac:dyDescent="0.25">
      <c r="A10" t="s">
        <v>83</v>
      </c>
      <c r="B10" t="s">
        <v>85</v>
      </c>
      <c r="C10">
        <v>2013</v>
      </c>
      <c r="D10" s="22">
        <v>3100</v>
      </c>
      <c r="E10" s="24">
        <v>3545</v>
      </c>
      <c r="F10" s="25">
        <f t="shared" si="0"/>
        <v>445</v>
      </c>
      <c r="H10">
        <f>COUNTIFS(C2:C16,H3,A2:A16,I3)</f>
        <v>4</v>
      </c>
    </row>
    <row r="11" spans="1:9" x14ac:dyDescent="0.25">
      <c r="A11" t="s">
        <v>83</v>
      </c>
      <c r="B11" t="s">
        <v>86</v>
      </c>
      <c r="C11">
        <v>2013</v>
      </c>
      <c r="D11" s="22">
        <v>2900</v>
      </c>
      <c r="E11" s="24">
        <v>3240</v>
      </c>
      <c r="F11" s="25">
        <f t="shared" si="0"/>
        <v>340</v>
      </c>
    </row>
    <row r="12" spans="1:9" x14ac:dyDescent="0.25">
      <c r="A12" t="s">
        <v>83</v>
      </c>
      <c r="B12" t="s">
        <v>87</v>
      </c>
      <c r="C12">
        <v>2013</v>
      </c>
      <c r="D12" s="22">
        <v>2130</v>
      </c>
      <c r="E12" s="24">
        <v>4032</v>
      </c>
      <c r="F12" s="25">
        <f t="shared" si="0"/>
        <v>1902</v>
      </c>
      <c r="H12" s="3" t="s">
        <v>94</v>
      </c>
    </row>
    <row r="13" spans="1:9" x14ac:dyDescent="0.25">
      <c r="A13" t="s">
        <v>84</v>
      </c>
      <c r="B13" t="s">
        <v>88</v>
      </c>
      <c r="C13">
        <v>2013</v>
      </c>
      <c r="D13" s="22">
        <v>5360</v>
      </c>
      <c r="E13" s="24">
        <v>6107</v>
      </c>
      <c r="F13" s="25">
        <f t="shared" si="0"/>
        <v>747</v>
      </c>
      <c r="H13">
        <f>SUMIFS(E2:E16,C2:C16,H3,E2:E16,"&gt;10000")</f>
        <v>41701</v>
      </c>
    </row>
    <row r="14" spans="1:9" x14ac:dyDescent="0.25">
      <c r="A14" t="s">
        <v>84</v>
      </c>
      <c r="B14" t="s">
        <v>85</v>
      </c>
      <c r="C14">
        <v>2013</v>
      </c>
      <c r="D14" s="22">
        <v>5030</v>
      </c>
      <c r="E14" s="24">
        <v>5502</v>
      </c>
      <c r="F14" s="25">
        <f t="shared" si="0"/>
        <v>472</v>
      </c>
    </row>
    <row r="15" spans="1:9" x14ac:dyDescent="0.25">
      <c r="A15" t="s">
        <v>84</v>
      </c>
      <c r="B15" t="s">
        <v>86</v>
      </c>
      <c r="C15">
        <v>2013</v>
      </c>
      <c r="D15" s="22">
        <v>2560</v>
      </c>
      <c r="E15" s="24">
        <v>9211</v>
      </c>
      <c r="F15" s="25">
        <f t="shared" si="0"/>
        <v>6651</v>
      </c>
      <c r="G15" s="3" t="s">
        <v>95</v>
      </c>
    </row>
    <row r="16" spans="1:9" x14ac:dyDescent="0.25">
      <c r="A16" t="s">
        <v>84</v>
      </c>
      <c r="B16" t="s">
        <v>87</v>
      </c>
      <c r="C16">
        <v>2013</v>
      </c>
      <c r="D16" s="22">
        <v>9060</v>
      </c>
      <c r="E16" s="24">
        <v>2585</v>
      </c>
      <c r="F16" s="25">
        <f t="shared" si="0"/>
        <v>-6475</v>
      </c>
      <c r="H16">
        <f>COUNTIF(F2:F16, "&gt;0")</f>
        <v>12</v>
      </c>
    </row>
    <row r="18" spans="5:8" x14ac:dyDescent="0.25">
      <c r="E18" s="24">
        <f>SUM(E2:E4)</f>
        <v>41701</v>
      </c>
      <c r="H18" t="s">
        <v>176</v>
      </c>
    </row>
    <row r="19" spans="5:8" x14ac:dyDescent="0.25">
      <c r="H19" t="s">
        <v>177</v>
      </c>
    </row>
    <row r="20" spans="5:8" x14ac:dyDescent="0.25">
      <c r="E20" s="24">
        <f>SUM(E2:E4)</f>
        <v>41701</v>
      </c>
    </row>
    <row r="21" spans="5:8" x14ac:dyDescent="0.25">
      <c r="E21" s="24" t="s">
        <v>93</v>
      </c>
    </row>
  </sheetData>
  <conditionalFormatting sqref="E1:E1048576">
    <cfRule type="colorScale" priority="2">
      <colorScale>
        <cfvo type="min"/>
        <cfvo type="percentile" val="50"/>
        <cfvo type="max"/>
        <color rgb="FFF8696B"/>
        <color rgb="FFFFEB84"/>
        <color rgb="FF63BE7B"/>
      </colorScale>
    </cfRule>
  </conditionalFormatting>
  <conditionalFormatting sqref="F1:F1048576">
    <cfRule type="iconSet" priority="1">
      <iconSet iconSet="3TrafficLights2">
        <cfvo type="percent" val="0"/>
        <cfvo type="percent" val="33"/>
        <cfvo type="percent" val="67"/>
      </iconSet>
    </cfRule>
  </conditionalFormatting>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C11"/>
  <sheetViews>
    <sheetView workbookViewId="0"/>
  </sheetViews>
  <sheetFormatPr defaultRowHeight="15" x14ac:dyDescent="0.25"/>
  <cols>
    <col min="1" max="1" width="12.85546875" customWidth="1"/>
    <col min="2" max="2" width="19" customWidth="1"/>
    <col min="3" max="3" width="28.42578125" bestFit="1" customWidth="1"/>
  </cols>
  <sheetData>
    <row r="1" spans="1:3" x14ac:dyDescent="0.25">
      <c r="A1" s="27" t="s">
        <v>96</v>
      </c>
      <c r="B1" s="27" t="s">
        <v>97</v>
      </c>
      <c r="C1" s="27" t="s">
        <v>98</v>
      </c>
    </row>
    <row r="2" spans="1:3" x14ac:dyDescent="0.25">
      <c r="A2">
        <v>83</v>
      </c>
      <c r="B2">
        <v>4</v>
      </c>
      <c r="C2">
        <f>IFERROR(A2/B2,"No Result, Check denominator")</f>
        <v>20.75</v>
      </c>
    </row>
    <row r="3" spans="1:3" x14ac:dyDescent="0.25">
      <c r="A3">
        <v>88</v>
      </c>
      <c r="B3">
        <v>2</v>
      </c>
      <c r="C3">
        <f t="shared" ref="C3:C11" si="0">IFERROR(A3/B3,"No Result, Check denominator")</f>
        <v>44</v>
      </c>
    </row>
    <row r="4" spans="1:3" x14ac:dyDescent="0.25">
      <c r="A4">
        <v>23</v>
      </c>
      <c r="B4">
        <v>0</v>
      </c>
      <c r="C4" t="str">
        <f t="shared" si="0"/>
        <v>No Result, Check denominator</v>
      </c>
    </row>
    <row r="5" spans="1:3" x14ac:dyDescent="0.25">
      <c r="A5">
        <v>75</v>
      </c>
      <c r="B5">
        <v>5</v>
      </c>
      <c r="C5">
        <f t="shared" si="0"/>
        <v>15</v>
      </c>
    </row>
    <row r="6" spans="1:3" x14ac:dyDescent="0.25">
      <c r="A6">
        <v>32</v>
      </c>
      <c r="B6">
        <v>8</v>
      </c>
      <c r="C6">
        <f t="shared" si="0"/>
        <v>4</v>
      </c>
    </row>
    <row r="7" spans="1:3" x14ac:dyDescent="0.25">
      <c r="A7">
        <v>10</v>
      </c>
      <c r="B7">
        <v>5</v>
      </c>
      <c r="C7">
        <f t="shared" si="0"/>
        <v>2</v>
      </c>
    </row>
    <row r="8" spans="1:3" x14ac:dyDescent="0.25">
      <c r="A8">
        <v>98</v>
      </c>
      <c r="B8">
        <v>0</v>
      </c>
      <c r="C8" t="str">
        <f t="shared" si="0"/>
        <v>No Result, Check denominator</v>
      </c>
    </row>
    <row r="9" spans="1:3" x14ac:dyDescent="0.25">
      <c r="A9">
        <v>70</v>
      </c>
      <c r="B9">
        <v>5</v>
      </c>
      <c r="C9">
        <f t="shared" si="0"/>
        <v>14</v>
      </c>
    </row>
    <row r="10" spans="1:3" x14ac:dyDescent="0.25">
      <c r="A10">
        <v>50</v>
      </c>
      <c r="B10">
        <v>0</v>
      </c>
      <c r="C10" t="str">
        <f t="shared" si="0"/>
        <v>No Result, Check denominator</v>
      </c>
    </row>
    <row r="11" spans="1:3" x14ac:dyDescent="0.25">
      <c r="A11">
        <v>35</v>
      </c>
      <c r="B11">
        <v>8</v>
      </c>
      <c r="C11">
        <f t="shared" si="0"/>
        <v>4.375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3:D38"/>
  <sheetViews>
    <sheetView topLeftCell="A16" workbookViewId="0"/>
  </sheetViews>
  <sheetFormatPr defaultRowHeight="15" x14ac:dyDescent="0.25"/>
  <cols>
    <col min="1" max="1" width="14" customWidth="1"/>
    <col min="2" max="2" width="12.5703125" style="7" customWidth="1"/>
    <col min="3" max="3" width="19.5703125" customWidth="1"/>
    <col min="4" max="4" width="18.85546875" customWidth="1"/>
    <col min="5" max="15" width="8" customWidth="1"/>
    <col min="16" max="18" width="9" customWidth="1"/>
    <col min="19" max="19" width="18.85546875" bestFit="1" customWidth="1"/>
    <col min="20" max="32" width="8" customWidth="1"/>
    <col min="33" max="35" width="9" customWidth="1"/>
  </cols>
  <sheetData>
    <row r="3" spans="1:4" x14ac:dyDescent="0.25">
      <c r="A3" s="80" t="s">
        <v>215</v>
      </c>
      <c r="B3" t="s">
        <v>216</v>
      </c>
      <c r="C3" t="s">
        <v>218</v>
      </c>
      <c r="D3" t="s">
        <v>217</v>
      </c>
    </row>
    <row r="4" spans="1:4" x14ac:dyDescent="0.25">
      <c r="A4" s="81" t="s">
        <v>128</v>
      </c>
      <c r="B4" s="9"/>
      <c r="C4" s="9"/>
      <c r="D4" s="7"/>
    </row>
    <row r="5" spans="1:4" x14ac:dyDescent="0.25">
      <c r="A5" s="82" t="s">
        <v>108</v>
      </c>
      <c r="B5" s="9">
        <v>164</v>
      </c>
      <c r="C5" s="9">
        <v>870</v>
      </c>
      <c r="D5" s="7">
        <v>370</v>
      </c>
    </row>
    <row r="6" spans="1:4" x14ac:dyDescent="0.25">
      <c r="A6" s="82" t="s">
        <v>109</v>
      </c>
      <c r="B6" s="9">
        <v>215</v>
      </c>
      <c r="C6" s="9">
        <v>769</v>
      </c>
      <c r="D6" s="7">
        <v>398</v>
      </c>
    </row>
    <row r="7" spans="1:4" x14ac:dyDescent="0.25">
      <c r="A7" s="82" t="s">
        <v>106</v>
      </c>
      <c r="B7" s="9">
        <v>87</v>
      </c>
      <c r="C7" s="9">
        <v>384</v>
      </c>
      <c r="D7" s="7">
        <v>120</v>
      </c>
    </row>
    <row r="8" spans="1:4" x14ac:dyDescent="0.25">
      <c r="A8" s="81"/>
      <c r="B8" s="9"/>
      <c r="C8" s="9"/>
      <c r="D8" s="7"/>
    </row>
    <row r="9" spans="1:4" x14ac:dyDescent="0.25">
      <c r="A9" s="81" t="s">
        <v>130</v>
      </c>
      <c r="B9" s="9"/>
      <c r="C9" s="9"/>
      <c r="D9" s="7"/>
    </row>
    <row r="10" spans="1:4" x14ac:dyDescent="0.25">
      <c r="A10" s="82" t="s">
        <v>129</v>
      </c>
      <c r="B10" s="9">
        <v>12</v>
      </c>
      <c r="C10" s="9">
        <v>7</v>
      </c>
      <c r="D10" s="7">
        <v>6</v>
      </c>
    </row>
    <row r="11" spans="1:4" x14ac:dyDescent="0.25">
      <c r="A11" s="81"/>
      <c r="B11" s="9"/>
      <c r="C11" s="9"/>
      <c r="D11" s="7"/>
    </row>
    <row r="12" spans="1:4" x14ac:dyDescent="0.25">
      <c r="A12" s="81" t="s">
        <v>148</v>
      </c>
      <c r="B12" s="9"/>
      <c r="C12" s="9"/>
      <c r="D12" s="7"/>
    </row>
    <row r="13" spans="1:4" x14ac:dyDescent="0.25">
      <c r="A13" s="82" t="s">
        <v>144</v>
      </c>
      <c r="B13" s="9">
        <v>89</v>
      </c>
      <c r="C13" s="9">
        <v>78</v>
      </c>
      <c r="D13" s="7">
        <v>16</v>
      </c>
    </row>
    <row r="14" spans="1:4" x14ac:dyDescent="0.25">
      <c r="A14" s="81"/>
      <c r="B14" s="9"/>
      <c r="C14" s="9"/>
      <c r="D14" s="7"/>
    </row>
    <row r="15" spans="1:4" x14ac:dyDescent="0.25">
      <c r="A15" s="81" t="s">
        <v>107</v>
      </c>
      <c r="B15" s="9"/>
      <c r="C15" s="9"/>
      <c r="D15" s="7"/>
    </row>
    <row r="16" spans="1:4" x14ac:dyDescent="0.25">
      <c r="A16" s="82" t="s">
        <v>107</v>
      </c>
      <c r="B16" s="9">
        <v>268</v>
      </c>
      <c r="C16" s="9">
        <v>638</v>
      </c>
      <c r="D16" s="7">
        <v>330</v>
      </c>
    </row>
    <row r="17" spans="1:4" x14ac:dyDescent="0.25">
      <c r="A17" s="81"/>
      <c r="B17" s="9"/>
      <c r="C17" s="9"/>
      <c r="D17" s="7"/>
    </row>
    <row r="18" spans="1:4" x14ac:dyDescent="0.25">
      <c r="A18" s="81" t="s">
        <v>146</v>
      </c>
      <c r="B18" s="9"/>
      <c r="C18" s="9"/>
      <c r="D18" s="7"/>
    </row>
    <row r="19" spans="1:4" x14ac:dyDescent="0.25">
      <c r="A19" s="82" t="s">
        <v>142</v>
      </c>
      <c r="B19" s="9">
        <v>69</v>
      </c>
      <c r="C19" s="9">
        <v>89</v>
      </c>
      <c r="D19" s="7">
        <v>12</v>
      </c>
    </row>
    <row r="20" spans="1:4" x14ac:dyDescent="0.25">
      <c r="A20" s="81"/>
      <c r="B20" s="9"/>
      <c r="C20" s="9"/>
      <c r="D20" s="7"/>
    </row>
    <row r="21" spans="1:4" x14ac:dyDescent="0.25">
      <c r="A21" s="81" t="s">
        <v>147</v>
      </c>
      <c r="B21" s="9"/>
      <c r="C21" s="9"/>
      <c r="D21" s="7"/>
    </row>
    <row r="22" spans="1:4" x14ac:dyDescent="0.25">
      <c r="A22" s="82" t="s">
        <v>143</v>
      </c>
      <c r="B22" s="9">
        <v>45</v>
      </c>
      <c r="C22" s="9">
        <v>34</v>
      </c>
      <c r="D22" s="7">
        <v>34</v>
      </c>
    </row>
    <row r="23" spans="1:4" x14ac:dyDescent="0.25">
      <c r="A23" s="81"/>
      <c r="B23" s="9"/>
      <c r="C23" s="9"/>
      <c r="D23" s="7"/>
    </row>
    <row r="24" spans="1:4" x14ac:dyDescent="0.25">
      <c r="A24" s="81" t="s">
        <v>134</v>
      </c>
      <c r="B24" s="9"/>
      <c r="C24" s="9"/>
      <c r="D24" s="7"/>
    </row>
    <row r="25" spans="1:4" x14ac:dyDescent="0.25">
      <c r="A25" s="82" t="s">
        <v>133</v>
      </c>
      <c r="B25" s="9">
        <v>78</v>
      </c>
      <c r="C25" s="9">
        <v>8</v>
      </c>
      <c r="D25" s="7">
        <v>5</v>
      </c>
    </row>
    <row r="26" spans="1:4" x14ac:dyDescent="0.25">
      <c r="A26" s="81"/>
      <c r="B26" s="9"/>
      <c r="C26" s="9"/>
      <c r="D26" s="7"/>
    </row>
    <row r="27" spans="1:4" x14ac:dyDescent="0.25">
      <c r="A27" s="81" t="s">
        <v>149</v>
      </c>
      <c r="B27" s="9"/>
      <c r="C27" s="9"/>
      <c r="D27" s="7"/>
    </row>
    <row r="28" spans="1:4" x14ac:dyDescent="0.25">
      <c r="A28" s="82" t="s">
        <v>145</v>
      </c>
      <c r="B28" s="9">
        <v>67</v>
      </c>
      <c r="C28" s="9">
        <v>34</v>
      </c>
      <c r="D28" s="7">
        <v>67</v>
      </c>
    </row>
    <row r="29" spans="1:4" x14ac:dyDescent="0.25">
      <c r="A29" s="81"/>
      <c r="B29" s="9"/>
      <c r="C29" s="9"/>
      <c r="D29" s="7"/>
    </row>
    <row r="30" spans="1:4" x14ac:dyDescent="0.25">
      <c r="A30" s="81" t="s">
        <v>214</v>
      </c>
      <c r="B30" s="9">
        <v>1094</v>
      </c>
      <c r="C30" s="9">
        <v>2911</v>
      </c>
      <c r="D30" s="7">
        <v>1358</v>
      </c>
    </row>
    <row r="31" spans="1:4" x14ac:dyDescent="0.25">
      <c r="B31"/>
    </row>
    <row r="32" spans="1:4" x14ac:dyDescent="0.25">
      <c r="B32"/>
    </row>
    <row r="33" spans="2:2" x14ac:dyDescent="0.25">
      <c r="B33"/>
    </row>
    <row r="34" spans="2:2" x14ac:dyDescent="0.25">
      <c r="B34"/>
    </row>
    <row r="35" spans="2:2" x14ac:dyDescent="0.25">
      <c r="B35"/>
    </row>
    <row r="36" spans="2:2" x14ac:dyDescent="0.25">
      <c r="B36"/>
    </row>
    <row r="37" spans="2:2" x14ac:dyDescent="0.25">
      <c r="B37"/>
    </row>
    <row r="38" spans="2:2" x14ac:dyDescent="0.25">
      <c r="B38"/>
    </row>
  </sheetData>
  <pageMargins left="0.7" right="0.7" top="0.75" bottom="0.75" header="0.3" footer="0.3"/>
  <pageSetup orientation="portrait"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3:E14"/>
  <sheetViews>
    <sheetView workbookViewId="0"/>
  </sheetViews>
  <sheetFormatPr defaultColWidth="27.5703125" defaultRowHeight="15" x14ac:dyDescent="0.25"/>
  <cols>
    <col min="1" max="1" width="13.140625" customWidth="1"/>
    <col min="2" max="2" width="12.5703125" customWidth="1"/>
    <col min="3" max="3" width="16.140625" customWidth="1"/>
    <col min="4" max="4" width="10.28515625" customWidth="1"/>
    <col min="5" max="5" width="12.28515625" customWidth="1"/>
  </cols>
  <sheetData>
    <row r="3" spans="1:5" x14ac:dyDescent="0.25">
      <c r="A3" s="80" t="s">
        <v>215</v>
      </c>
      <c r="B3" t="s">
        <v>216</v>
      </c>
      <c r="C3" t="s">
        <v>219</v>
      </c>
      <c r="D3" t="s">
        <v>220</v>
      </c>
      <c r="E3" t="s">
        <v>221</v>
      </c>
    </row>
    <row r="4" spans="1:5" x14ac:dyDescent="0.25">
      <c r="A4" s="81" t="s">
        <v>108</v>
      </c>
      <c r="B4" s="83">
        <v>164</v>
      </c>
      <c r="C4" s="9">
        <v>54.666666666666664</v>
      </c>
      <c r="D4" s="83">
        <v>101</v>
      </c>
      <c r="E4" s="9">
        <v>10</v>
      </c>
    </row>
    <row r="5" spans="1:5" x14ac:dyDescent="0.25">
      <c r="A5" s="81" t="s">
        <v>143</v>
      </c>
      <c r="B5" s="83">
        <v>45</v>
      </c>
      <c r="C5" s="9">
        <v>45</v>
      </c>
      <c r="D5" s="83">
        <v>45</v>
      </c>
      <c r="E5" s="9">
        <v>45</v>
      </c>
    </row>
    <row r="6" spans="1:5" x14ac:dyDescent="0.25">
      <c r="A6" s="81" t="s">
        <v>145</v>
      </c>
      <c r="B6" s="83">
        <v>67</v>
      </c>
      <c r="C6" s="9">
        <v>67</v>
      </c>
      <c r="D6" s="83">
        <v>67</v>
      </c>
      <c r="E6" s="9">
        <v>67</v>
      </c>
    </row>
    <row r="7" spans="1:5" x14ac:dyDescent="0.25">
      <c r="A7" s="81" t="s">
        <v>129</v>
      </c>
      <c r="B7" s="83">
        <v>12</v>
      </c>
      <c r="C7" s="9">
        <v>12</v>
      </c>
      <c r="D7" s="83">
        <v>12</v>
      </c>
      <c r="E7" s="9">
        <v>12</v>
      </c>
    </row>
    <row r="8" spans="1:5" x14ac:dyDescent="0.25">
      <c r="A8" s="81" t="s">
        <v>109</v>
      </c>
      <c r="B8" s="83">
        <v>215</v>
      </c>
      <c r="C8" s="9">
        <v>71.666666666666671</v>
      </c>
      <c r="D8" s="83">
        <v>111</v>
      </c>
      <c r="E8" s="9">
        <v>50</v>
      </c>
    </row>
    <row r="9" spans="1:5" x14ac:dyDescent="0.25">
      <c r="A9" s="81" t="s">
        <v>106</v>
      </c>
      <c r="B9" s="83">
        <v>87</v>
      </c>
      <c r="C9" s="9">
        <v>43.5</v>
      </c>
      <c r="D9" s="83">
        <v>87</v>
      </c>
      <c r="E9" s="9">
        <v>0</v>
      </c>
    </row>
    <row r="10" spans="1:5" x14ac:dyDescent="0.25">
      <c r="A10" s="81" t="s">
        <v>107</v>
      </c>
      <c r="B10" s="83">
        <v>268</v>
      </c>
      <c r="C10" s="9">
        <v>67</v>
      </c>
      <c r="D10" s="83">
        <v>117</v>
      </c>
      <c r="E10" s="9">
        <v>16</v>
      </c>
    </row>
    <row r="11" spans="1:5" x14ac:dyDescent="0.25">
      <c r="A11" s="81" t="s">
        <v>133</v>
      </c>
      <c r="B11" s="83">
        <v>78</v>
      </c>
      <c r="C11" s="9">
        <v>78</v>
      </c>
      <c r="D11" s="83">
        <v>78</v>
      </c>
      <c r="E11" s="9">
        <v>78</v>
      </c>
    </row>
    <row r="12" spans="1:5" x14ac:dyDescent="0.25">
      <c r="A12" s="81" t="s">
        <v>142</v>
      </c>
      <c r="B12" s="83">
        <v>69</v>
      </c>
      <c r="C12" s="9">
        <v>69</v>
      </c>
      <c r="D12" s="83">
        <v>69</v>
      </c>
      <c r="E12" s="9">
        <v>69</v>
      </c>
    </row>
    <row r="13" spans="1:5" x14ac:dyDescent="0.25">
      <c r="A13" s="81" t="s">
        <v>144</v>
      </c>
      <c r="B13" s="83">
        <v>89</v>
      </c>
      <c r="C13" s="9">
        <v>89</v>
      </c>
      <c r="D13" s="83">
        <v>89</v>
      </c>
      <c r="E13" s="9">
        <v>89</v>
      </c>
    </row>
    <row r="14" spans="1:5" x14ac:dyDescent="0.25">
      <c r="A14" s="81" t="s">
        <v>214</v>
      </c>
      <c r="B14" s="83">
        <v>1094</v>
      </c>
      <c r="C14" s="9">
        <v>60.777777777777779</v>
      </c>
      <c r="D14" s="83">
        <v>117</v>
      </c>
      <c r="E14" s="9">
        <v>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
  <sheetViews>
    <sheetView workbookViewId="0"/>
  </sheetViews>
  <sheetFormatPr defaultRowHeight="15" x14ac:dyDescent="0.25"/>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3:L23"/>
  <sheetViews>
    <sheetView topLeftCell="A2" workbookViewId="0"/>
  </sheetViews>
  <sheetFormatPr defaultRowHeight="15" x14ac:dyDescent="0.25"/>
  <cols>
    <col min="1" max="1" width="13.140625" bestFit="1" customWidth="1"/>
    <col min="2" max="2" width="16.28515625" bestFit="1" customWidth="1"/>
    <col min="3" max="3" width="6.28515625" customWidth="1"/>
    <col min="4" max="4" width="6.140625" customWidth="1"/>
    <col min="5" max="5" width="5.140625" customWidth="1"/>
    <col min="6" max="6" width="10.28515625" customWidth="1"/>
    <col min="7" max="7" width="6.42578125" customWidth="1"/>
    <col min="8" max="8" width="9" customWidth="1"/>
    <col min="9" max="9" width="5.5703125" customWidth="1"/>
    <col min="10" max="11" width="4.7109375" customWidth="1"/>
    <col min="12" max="12" width="11.28515625" bestFit="1" customWidth="1"/>
  </cols>
  <sheetData>
    <row r="3" spans="1:12" x14ac:dyDescent="0.25">
      <c r="A3" s="80" t="s">
        <v>216</v>
      </c>
      <c r="B3" s="80" t="s">
        <v>227</v>
      </c>
    </row>
    <row r="4" spans="1:12" x14ac:dyDescent="0.25">
      <c r="A4" s="80" t="s">
        <v>215</v>
      </c>
      <c r="B4" t="s">
        <v>108</v>
      </c>
      <c r="C4" t="s">
        <v>143</v>
      </c>
      <c r="D4" t="s">
        <v>145</v>
      </c>
      <c r="E4" t="s">
        <v>129</v>
      </c>
      <c r="F4" t="s">
        <v>109</v>
      </c>
      <c r="G4" t="s">
        <v>106</v>
      </c>
      <c r="H4" t="s">
        <v>107</v>
      </c>
      <c r="I4" t="s">
        <v>133</v>
      </c>
      <c r="J4" t="s">
        <v>142</v>
      </c>
      <c r="K4" t="s">
        <v>144</v>
      </c>
      <c r="L4" t="s">
        <v>214</v>
      </c>
    </row>
    <row r="5" spans="1:12" x14ac:dyDescent="0.25">
      <c r="A5" s="81" t="s">
        <v>240</v>
      </c>
      <c r="B5" s="98"/>
      <c r="C5" s="98"/>
      <c r="D5" s="98"/>
      <c r="E5" s="98"/>
      <c r="F5" s="98"/>
      <c r="G5" s="98"/>
      <c r="H5" s="98"/>
      <c r="I5" s="98"/>
      <c r="J5" s="98"/>
      <c r="K5" s="98"/>
      <c r="L5" s="98"/>
    </row>
    <row r="6" spans="1:12" x14ac:dyDescent="0.25">
      <c r="A6" s="82" t="s">
        <v>241</v>
      </c>
      <c r="B6" s="98"/>
      <c r="C6" s="98"/>
      <c r="D6" s="98"/>
      <c r="E6" s="98"/>
      <c r="F6" s="98"/>
      <c r="G6" s="98"/>
      <c r="H6" s="98"/>
      <c r="I6" s="98"/>
      <c r="J6" s="98"/>
      <c r="K6" s="98"/>
      <c r="L6" s="98"/>
    </row>
    <row r="7" spans="1:12" x14ac:dyDescent="0.25">
      <c r="A7" s="100" t="s">
        <v>223</v>
      </c>
      <c r="B7" s="98">
        <v>101</v>
      </c>
      <c r="C7" s="98"/>
      <c r="D7" s="98">
        <v>67</v>
      </c>
      <c r="E7" s="98"/>
      <c r="F7" s="98">
        <v>111</v>
      </c>
      <c r="G7" s="98"/>
      <c r="H7" s="98">
        <v>68</v>
      </c>
      <c r="I7" s="98"/>
      <c r="J7" s="98">
        <v>69</v>
      </c>
      <c r="K7" s="98"/>
      <c r="L7" s="98">
        <v>416</v>
      </c>
    </row>
    <row r="8" spans="1:12" x14ac:dyDescent="0.25">
      <c r="A8" s="100" t="s">
        <v>224</v>
      </c>
      <c r="B8" s="98">
        <v>53</v>
      </c>
      <c r="C8" s="98"/>
      <c r="D8" s="98"/>
      <c r="E8" s="98">
        <v>12</v>
      </c>
      <c r="F8" s="98"/>
      <c r="G8" s="98">
        <v>87</v>
      </c>
      <c r="H8" s="98">
        <v>117</v>
      </c>
      <c r="I8" s="98"/>
      <c r="J8" s="98"/>
      <c r="K8" s="98">
        <v>89</v>
      </c>
      <c r="L8" s="98">
        <v>358</v>
      </c>
    </row>
    <row r="9" spans="1:12" x14ac:dyDescent="0.25">
      <c r="A9" s="82" t="s">
        <v>242</v>
      </c>
      <c r="B9" s="98"/>
      <c r="C9" s="98"/>
      <c r="D9" s="98"/>
      <c r="E9" s="98"/>
      <c r="F9" s="98"/>
      <c r="G9" s="98"/>
      <c r="H9" s="98"/>
      <c r="I9" s="98"/>
      <c r="J9" s="98"/>
      <c r="K9" s="98"/>
      <c r="L9" s="98"/>
    </row>
    <row r="10" spans="1:12" x14ac:dyDescent="0.25">
      <c r="A10" s="100" t="s">
        <v>225</v>
      </c>
      <c r="B10" s="98"/>
      <c r="C10" s="98">
        <v>45</v>
      </c>
      <c r="D10" s="98"/>
      <c r="E10" s="98"/>
      <c r="F10" s="98">
        <v>54</v>
      </c>
      <c r="G10" s="98"/>
      <c r="H10" s="98">
        <v>67</v>
      </c>
      <c r="I10" s="98">
        <v>78</v>
      </c>
      <c r="J10" s="98"/>
      <c r="K10" s="98"/>
      <c r="L10" s="98">
        <v>244</v>
      </c>
    </row>
    <row r="11" spans="1:12" x14ac:dyDescent="0.25">
      <c r="A11" s="81" t="s">
        <v>243</v>
      </c>
      <c r="B11" s="98"/>
      <c r="C11" s="98"/>
      <c r="D11" s="98"/>
      <c r="E11" s="98"/>
      <c r="F11" s="98"/>
      <c r="G11" s="98"/>
      <c r="H11" s="98"/>
      <c r="I11" s="98"/>
      <c r="J11" s="98"/>
      <c r="K11" s="98"/>
      <c r="L11" s="98"/>
    </row>
    <row r="12" spans="1:12" x14ac:dyDescent="0.25">
      <c r="A12" s="82" t="s">
        <v>241</v>
      </c>
      <c r="B12" s="98"/>
      <c r="C12" s="98"/>
      <c r="D12" s="98"/>
      <c r="E12" s="98"/>
      <c r="F12" s="98"/>
      <c r="G12" s="98"/>
      <c r="H12" s="98"/>
      <c r="I12" s="98"/>
      <c r="J12" s="98"/>
      <c r="K12" s="98"/>
      <c r="L12" s="98"/>
    </row>
    <row r="13" spans="1:12" x14ac:dyDescent="0.25">
      <c r="A13" s="100" t="s">
        <v>226</v>
      </c>
      <c r="B13" s="98">
        <v>10</v>
      </c>
      <c r="C13" s="98"/>
      <c r="D13" s="98"/>
      <c r="E13" s="98"/>
      <c r="F13" s="98">
        <v>50</v>
      </c>
      <c r="G13" s="98">
        <v>0</v>
      </c>
      <c r="H13" s="98">
        <v>16</v>
      </c>
      <c r="I13" s="98"/>
      <c r="J13" s="98"/>
      <c r="K13" s="98"/>
      <c r="L13" s="98">
        <v>76</v>
      </c>
    </row>
    <row r="14" spans="1:12" x14ac:dyDescent="0.25">
      <c r="A14" s="81" t="s">
        <v>214</v>
      </c>
      <c r="B14" s="98">
        <v>164</v>
      </c>
      <c r="C14" s="98">
        <v>45</v>
      </c>
      <c r="D14" s="98">
        <v>67</v>
      </c>
      <c r="E14" s="98">
        <v>12</v>
      </c>
      <c r="F14" s="98">
        <v>215</v>
      </c>
      <c r="G14" s="98">
        <v>87</v>
      </c>
      <c r="H14" s="98">
        <v>268</v>
      </c>
      <c r="I14" s="98">
        <v>78</v>
      </c>
      <c r="J14" s="98">
        <v>69</v>
      </c>
      <c r="K14" s="98">
        <v>89</v>
      </c>
      <c r="L14" s="98">
        <v>1094</v>
      </c>
    </row>
    <row r="15" spans="1:12" x14ac:dyDescent="0.25">
      <c r="A15" s="97" t="s">
        <v>228</v>
      </c>
      <c r="B15" t="e">
        <f t="shared" ref="B15:B23" si="0">GETPIVOTDATA("Profit",$A$3,"Product",$C$12,"Date",A15)</f>
        <v>#REF!</v>
      </c>
    </row>
    <row r="16" spans="1:12" x14ac:dyDescent="0.25">
      <c r="A16" s="97" t="s">
        <v>229</v>
      </c>
      <c r="B16" t="e">
        <f t="shared" si="0"/>
        <v>#REF!</v>
      </c>
    </row>
    <row r="17" spans="1:2" x14ac:dyDescent="0.25">
      <c r="A17" s="97" t="s">
        <v>230</v>
      </c>
      <c r="B17" t="e">
        <f t="shared" si="0"/>
        <v>#REF!</v>
      </c>
    </row>
    <row r="18" spans="1:2" x14ac:dyDescent="0.25">
      <c r="A18" s="97" t="s">
        <v>231</v>
      </c>
      <c r="B18" t="e">
        <f t="shared" si="0"/>
        <v>#REF!</v>
      </c>
    </row>
    <row r="19" spans="1:2" x14ac:dyDescent="0.25">
      <c r="A19" s="97" t="s">
        <v>232</v>
      </c>
      <c r="B19" t="e">
        <f t="shared" si="0"/>
        <v>#REF!</v>
      </c>
    </row>
    <row r="20" spans="1:2" x14ac:dyDescent="0.25">
      <c r="A20" s="97" t="s">
        <v>233</v>
      </c>
      <c r="B20" t="e">
        <f t="shared" si="0"/>
        <v>#REF!</v>
      </c>
    </row>
    <row r="21" spans="1:2" x14ac:dyDescent="0.25">
      <c r="A21" s="97" t="s">
        <v>234</v>
      </c>
      <c r="B21" t="e">
        <f t="shared" si="0"/>
        <v>#REF!</v>
      </c>
    </row>
    <row r="22" spans="1:2" x14ac:dyDescent="0.25">
      <c r="A22" s="97" t="s">
        <v>235</v>
      </c>
      <c r="B22" t="e">
        <f t="shared" si="0"/>
        <v>#REF!</v>
      </c>
    </row>
    <row r="23" spans="1:2" x14ac:dyDescent="0.25">
      <c r="A23" s="97" t="s">
        <v>236</v>
      </c>
      <c r="B23" t="e">
        <f t="shared" si="0"/>
        <v>#REF!</v>
      </c>
    </row>
  </sheetData>
  <pageMargins left="0.7" right="0.7" top="0.75" bottom="0.75" header="0.3" footer="0.3"/>
  <pageSetup orientation="portrait"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3:E14"/>
  <sheetViews>
    <sheetView topLeftCell="C1" workbookViewId="0">
      <selection activeCell="E7" sqref="E7"/>
    </sheetView>
  </sheetViews>
  <sheetFormatPr defaultRowHeight="15" x14ac:dyDescent="0.25"/>
  <cols>
    <col min="1" max="1" width="13.140625" bestFit="1" customWidth="1"/>
    <col min="2" max="2" width="12" customWidth="1"/>
    <col min="3" max="3" width="18.85546875" bestFit="1" customWidth="1"/>
    <col min="4" max="4" width="30.5703125" bestFit="1" customWidth="1"/>
    <col min="5" max="5" width="17.85546875" bestFit="1" customWidth="1"/>
  </cols>
  <sheetData>
    <row r="3" spans="1:5" x14ac:dyDescent="0.25">
      <c r="A3" s="80" t="s">
        <v>215</v>
      </c>
      <c r="B3" t="s">
        <v>237</v>
      </c>
      <c r="C3" t="s">
        <v>217</v>
      </c>
      <c r="D3" s="99" t="s">
        <v>238</v>
      </c>
      <c r="E3" s="4" t="s">
        <v>239</v>
      </c>
    </row>
    <row r="4" spans="1:5" x14ac:dyDescent="0.25">
      <c r="A4" s="81" t="s">
        <v>108</v>
      </c>
      <c r="B4" s="98">
        <v>164</v>
      </c>
      <c r="C4" s="83">
        <v>370</v>
      </c>
      <c r="D4" s="65">
        <v>-206</v>
      </c>
      <c r="E4" s="4">
        <v>-1.2560975609756098</v>
      </c>
    </row>
    <row r="5" spans="1:5" x14ac:dyDescent="0.25">
      <c r="A5" s="81" t="s">
        <v>143</v>
      </c>
      <c r="B5" s="98">
        <v>45</v>
      </c>
      <c r="C5" s="83">
        <v>34</v>
      </c>
      <c r="D5" s="65">
        <v>11</v>
      </c>
      <c r="E5" s="4">
        <v>0.24444444444444444</v>
      </c>
    </row>
    <row r="6" spans="1:5" x14ac:dyDescent="0.25">
      <c r="A6" s="81" t="s">
        <v>145</v>
      </c>
      <c r="B6" s="98">
        <v>67</v>
      </c>
      <c r="C6" s="83">
        <v>67</v>
      </c>
      <c r="D6" s="65">
        <v>0</v>
      </c>
      <c r="E6" s="4">
        <v>0</v>
      </c>
    </row>
    <row r="7" spans="1:5" x14ac:dyDescent="0.25">
      <c r="A7" s="81" t="s">
        <v>129</v>
      </c>
      <c r="B7" s="98">
        <v>12</v>
      </c>
      <c r="C7" s="83">
        <v>6</v>
      </c>
      <c r="D7" s="65">
        <v>6</v>
      </c>
      <c r="E7" s="4">
        <v>0.5</v>
      </c>
    </row>
    <row r="8" spans="1:5" x14ac:dyDescent="0.25">
      <c r="A8" s="81" t="s">
        <v>109</v>
      </c>
      <c r="B8" s="98">
        <v>215</v>
      </c>
      <c r="C8" s="83">
        <v>398</v>
      </c>
      <c r="D8" s="65">
        <v>-183</v>
      </c>
      <c r="E8" s="4">
        <v>-0.85116279069767442</v>
      </c>
    </row>
    <row r="9" spans="1:5" x14ac:dyDescent="0.25">
      <c r="A9" s="81" t="s">
        <v>106</v>
      </c>
      <c r="B9" s="98">
        <v>87</v>
      </c>
      <c r="C9" s="83">
        <v>120</v>
      </c>
      <c r="D9" s="65">
        <v>-33</v>
      </c>
      <c r="E9" s="4">
        <v>-0.37931034482758619</v>
      </c>
    </row>
    <row r="10" spans="1:5" x14ac:dyDescent="0.25">
      <c r="A10" s="81" t="s">
        <v>107</v>
      </c>
      <c r="B10" s="98">
        <v>268</v>
      </c>
      <c r="C10" s="83">
        <v>330</v>
      </c>
      <c r="D10" s="65">
        <v>-62</v>
      </c>
      <c r="E10" s="4">
        <v>-0.23134328358208955</v>
      </c>
    </row>
    <row r="11" spans="1:5" x14ac:dyDescent="0.25">
      <c r="A11" s="81" t="s">
        <v>133</v>
      </c>
      <c r="B11" s="98">
        <v>78</v>
      </c>
      <c r="C11" s="83">
        <v>5</v>
      </c>
      <c r="D11" s="65">
        <v>73</v>
      </c>
      <c r="E11" s="4">
        <v>0.9358974358974359</v>
      </c>
    </row>
    <row r="12" spans="1:5" x14ac:dyDescent="0.25">
      <c r="A12" s="81" t="s">
        <v>142</v>
      </c>
      <c r="B12" s="98">
        <v>69</v>
      </c>
      <c r="C12" s="83">
        <v>12</v>
      </c>
      <c r="D12" s="65">
        <v>57</v>
      </c>
      <c r="E12" s="4">
        <v>0.82608695652173914</v>
      </c>
    </row>
    <row r="13" spans="1:5" x14ac:dyDescent="0.25">
      <c r="A13" s="81" t="s">
        <v>144</v>
      </c>
      <c r="B13" s="98">
        <v>89</v>
      </c>
      <c r="C13" s="83">
        <v>16</v>
      </c>
      <c r="D13" s="65">
        <v>73</v>
      </c>
      <c r="E13" s="4">
        <v>0.8202247191011236</v>
      </c>
    </row>
    <row r="14" spans="1:5" x14ac:dyDescent="0.25">
      <c r="A14" s="81" t="s">
        <v>214</v>
      </c>
      <c r="B14" s="98">
        <v>1094</v>
      </c>
      <c r="C14" s="83">
        <v>1358</v>
      </c>
      <c r="D14" s="65">
        <v>-264</v>
      </c>
      <c r="E14" s="4">
        <v>-0.24131627056672761</v>
      </c>
    </row>
  </sheetData>
  <conditionalFormatting pivot="1" sqref="D4">
    <cfRule type="colorScale" priority="2">
      <colorScale>
        <cfvo type="min"/>
        <cfvo type="percentile" val="50"/>
        <cfvo type="max"/>
        <color rgb="FFF8696B"/>
        <color rgb="FFFFEB84"/>
        <color rgb="FF63BE7B"/>
      </colorScale>
    </cfRule>
  </conditionalFormatting>
  <conditionalFormatting pivot="1" sqref="D4:D13">
    <cfRule type="colorScale" priority="1">
      <colorScale>
        <cfvo type="min"/>
        <cfvo type="percentile" val="50"/>
        <cfvo type="max"/>
        <color rgb="FFF8696B"/>
        <color rgb="FFFFEB84"/>
        <color rgb="FF63BE7B"/>
      </colorScale>
    </cfRule>
  </conditionalFormatting>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B13"/>
  <sheetViews>
    <sheetView workbookViewId="0">
      <selection activeCell="B1" sqref="B1:B1048576"/>
    </sheetView>
  </sheetViews>
  <sheetFormatPr defaultRowHeight="15" x14ac:dyDescent="0.25"/>
  <cols>
    <col min="2" max="2" width="9.140625" style="65"/>
  </cols>
  <sheetData>
    <row r="1" spans="1:2" x14ac:dyDescent="0.25">
      <c r="A1" s="101" t="s">
        <v>101</v>
      </c>
      <c r="B1" s="95" t="s">
        <v>104</v>
      </c>
    </row>
    <row r="2" spans="1:2" x14ac:dyDescent="0.25">
      <c r="A2" s="102" t="s">
        <v>108</v>
      </c>
      <c r="B2" s="88">
        <v>12</v>
      </c>
    </row>
    <row r="3" spans="1:2" x14ac:dyDescent="0.25">
      <c r="A3" s="103" t="s">
        <v>143</v>
      </c>
      <c r="B3" s="88">
        <v>45</v>
      </c>
    </row>
    <row r="4" spans="1:2" x14ac:dyDescent="0.25">
      <c r="A4" s="102" t="s">
        <v>145</v>
      </c>
      <c r="B4" s="86">
        <v>50</v>
      </c>
    </row>
    <row r="5" spans="1:2" x14ac:dyDescent="0.25">
      <c r="A5" s="103" t="s">
        <v>129</v>
      </c>
      <c r="B5" s="86">
        <v>67</v>
      </c>
    </row>
    <row r="6" spans="1:2" x14ac:dyDescent="0.25">
      <c r="A6" s="102" t="s">
        <v>109</v>
      </c>
      <c r="B6" s="88">
        <v>67</v>
      </c>
    </row>
    <row r="7" spans="1:2" x14ac:dyDescent="0.25">
      <c r="A7" s="103" t="s">
        <v>106</v>
      </c>
      <c r="B7" s="86">
        <v>69</v>
      </c>
    </row>
    <row r="8" spans="1:2" x14ac:dyDescent="0.25">
      <c r="A8" s="103" t="s">
        <v>107</v>
      </c>
      <c r="B8" s="88">
        <v>78</v>
      </c>
    </row>
    <row r="9" spans="1:2" x14ac:dyDescent="0.25">
      <c r="A9" s="103" t="s">
        <v>133</v>
      </c>
      <c r="B9" s="88">
        <v>87</v>
      </c>
    </row>
    <row r="10" spans="1:2" x14ac:dyDescent="0.25">
      <c r="A10" s="102" t="s">
        <v>142</v>
      </c>
      <c r="B10" s="88">
        <v>89</v>
      </c>
    </row>
    <row r="11" spans="1:2" x14ac:dyDescent="0.25">
      <c r="A11" s="103" t="s">
        <v>144</v>
      </c>
      <c r="B11" s="86">
        <v>101</v>
      </c>
    </row>
    <row r="12" spans="1:2" x14ac:dyDescent="0.25">
      <c r="B12"/>
    </row>
    <row r="13" spans="1:2" x14ac:dyDescent="0.25">
      <c r="B13"/>
    </row>
  </sheetData>
  <sortState ref="B2:B21">
    <sortCondition ref="B1"/>
  </sortState>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3:E12"/>
  <sheetViews>
    <sheetView workbookViewId="0"/>
  </sheetViews>
  <sheetFormatPr defaultRowHeight="15" x14ac:dyDescent="0.25"/>
  <cols>
    <col min="1" max="1" width="19.5703125" customWidth="1"/>
    <col min="2" max="2" width="16.28515625" customWidth="1"/>
    <col min="3" max="3" width="4.7109375" bestFit="1" customWidth="1"/>
    <col min="4" max="4" width="6" bestFit="1" customWidth="1"/>
    <col min="5" max="5" width="5.28515625" customWidth="1"/>
    <col min="6" max="6" width="11.28515625" bestFit="1" customWidth="1"/>
  </cols>
  <sheetData>
    <row r="3" spans="1:5" x14ac:dyDescent="0.25">
      <c r="A3" s="80" t="s">
        <v>218</v>
      </c>
      <c r="B3" s="80" t="s">
        <v>227</v>
      </c>
    </row>
    <row r="4" spans="1:5" x14ac:dyDescent="0.25">
      <c r="A4" s="80" t="s">
        <v>215</v>
      </c>
      <c r="B4" t="s">
        <v>117</v>
      </c>
      <c r="C4" t="s">
        <v>118</v>
      </c>
      <c r="D4" t="s">
        <v>119</v>
      </c>
      <c r="E4" t="s">
        <v>120</v>
      </c>
    </row>
    <row r="5" spans="1:5" x14ac:dyDescent="0.25">
      <c r="A5" s="81" t="s">
        <v>128</v>
      </c>
      <c r="B5" s="83"/>
      <c r="C5" s="83"/>
      <c r="D5" s="83"/>
      <c r="E5" s="83"/>
    </row>
    <row r="6" spans="1:5" x14ac:dyDescent="0.25">
      <c r="A6" s="81" t="s">
        <v>130</v>
      </c>
      <c r="B6" s="83">
        <v>-1247</v>
      </c>
      <c r="C6" s="83">
        <v>-13</v>
      </c>
      <c r="D6" s="83">
        <v>-546</v>
      </c>
      <c r="E6" s="83">
        <v>-210</v>
      </c>
    </row>
    <row r="7" spans="1:5" x14ac:dyDescent="0.25">
      <c r="A7" s="81" t="s">
        <v>148</v>
      </c>
      <c r="B7" s="83">
        <v>-1254</v>
      </c>
      <c r="C7" s="83">
        <v>-13</v>
      </c>
      <c r="D7" s="83">
        <v>-468</v>
      </c>
      <c r="E7" s="83">
        <v>-210</v>
      </c>
    </row>
    <row r="8" spans="1:5" x14ac:dyDescent="0.25">
      <c r="A8" s="81" t="s">
        <v>107</v>
      </c>
      <c r="B8" s="83">
        <v>-1124</v>
      </c>
      <c r="C8" s="83">
        <v>187</v>
      </c>
      <c r="D8" s="83">
        <v>-356</v>
      </c>
      <c r="E8" s="83">
        <v>-92</v>
      </c>
    </row>
    <row r="9" spans="1:5" x14ac:dyDescent="0.25">
      <c r="A9" s="81" t="s">
        <v>146</v>
      </c>
      <c r="B9" s="83">
        <v>-1165</v>
      </c>
      <c r="C9" s="83">
        <v>-13</v>
      </c>
      <c r="D9" s="83">
        <v>-546</v>
      </c>
      <c r="E9" s="83">
        <v>-210</v>
      </c>
    </row>
    <row r="10" spans="1:5" x14ac:dyDescent="0.25">
      <c r="A10" s="81" t="s">
        <v>147</v>
      </c>
      <c r="B10" s="83">
        <v>-1254</v>
      </c>
      <c r="C10" s="83">
        <v>21</v>
      </c>
      <c r="D10" s="83">
        <v>-546</v>
      </c>
      <c r="E10" s="83">
        <v>-210</v>
      </c>
    </row>
    <row r="11" spans="1:5" x14ac:dyDescent="0.25">
      <c r="A11" s="81" t="s">
        <v>134</v>
      </c>
      <c r="B11" s="83">
        <v>-1246</v>
      </c>
      <c r="C11" s="83">
        <v>-13</v>
      </c>
      <c r="D11" s="83">
        <v>-546</v>
      </c>
      <c r="E11" s="83">
        <v>-210</v>
      </c>
    </row>
    <row r="12" spans="1:5" x14ac:dyDescent="0.25">
      <c r="A12" s="81" t="s">
        <v>149</v>
      </c>
      <c r="B12" s="83">
        <v>-1254</v>
      </c>
      <c r="C12" s="83">
        <v>-13</v>
      </c>
      <c r="D12" s="83">
        <v>-546</v>
      </c>
      <c r="E12" s="83">
        <v>-176</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dimension ref="A3:C6"/>
  <sheetViews>
    <sheetView workbookViewId="0"/>
  </sheetViews>
  <sheetFormatPr defaultRowHeight="15" x14ac:dyDescent="0.25"/>
  <cols>
    <col min="1" max="1" width="13.140625" bestFit="1" customWidth="1"/>
    <col min="2" max="2" width="16.28515625" bestFit="1" customWidth="1"/>
    <col min="3" max="3" width="4.85546875" customWidth="1"/>
    <col min="4" max="4" width="11.28515625" bestFit="1" customWidth="1"/>
  </cols>
  <sheetData>
    <row r="3" spans="1:3" x14ac:dyDescent="0.25">
      <c r="A3" s="80" t="s">
        <v>216</v>
      </c>
      <c r="B3" s="80" t="s">
        <v>227</v>
      </c>
    </row>
    <row r="4" spans="1:3" x14ac:dyDescent="0.25">
      <c r="A4" s="80" t="s">
        <v>215</v>
      </c>
      <c r="B4" t="s">
        <v>242</v>
      </c>
      <c r="C4" t="s">
        <v>241</v>
      </c>
    </row>
    <row r="5" spans="1:3" x14ac:dyDescent="0.25">
      <c r="A5" s="81" t="s">
        <v>240</v>
      </c>
      <c r="B5" s="83">
        <v>2</v>
      </c>
      <c r="C5" s="83">
        <v>1</v>
      </c>
    </row>
    <row r="6" spans="1:3" x14ac:dyDescent="0.25">
      <c r="A6" s="81" t="s">
        <v>243</v>
      </c>
      <c r="B6" s="83"/>
      <c r="C6" s="83">
        <v>1</v>
      </c>
    </row>
  </sheetData>
  <pageMargins left="0.7" right="0.7" top="0.75" bottom="0.75" header="0.3" footer="0.3"/>
  <pageSetup orientation="portrait"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6"/>
  <dimension ref="D1:E11"/>
  <sheetViews>
    <sheetView topLeftCell="C1" workbookViewId="0"/>
  </sheetViews>
  <sheetFormatPr defaultColWidth="16.140625" defaultRowHeight="15" x14ac:dyDescent="0.25"/>
  <cols>
    <col min="1" max="1" width="14" bestFit="1" customWidth="1"/>
    <col min="2" max="2" width="12.5703125" bestFit="1" customWidth="1"/>
    <col min="4" max="4" width="14" bestFit="1" customWidth="1"/>
    <col min="5" max="5" width="12.5703125" customWidth="1"/>
  </cols>
  <sheetData>
    <row r="1" spans="4:5" x14ac:dyDescent="0.25">
      <c r="D1" s="80" t="s">
        <v>215</v>
      </c>
      <c r="E1" t="s">
        <v>216</v>
      </c>
    </row>
    <row r="2" spans="4:5" x14ac:dyDescent="0.25">
      <c r="D2" s="81" t="s">
        <v>117</v>
      </c>
      <c r="E2" s="83">
        <v>251</v>
      </c>
    </row>
    <row r="3" spans="4:5" x14ac:dyDescent="0.25">
      <c r="D3" s="82" t="s">
        <v>108</v>
      </c>
      <c r="E3" s="83">
        <v>164</v>
      </c>
    </row>
    <row r="4" spans="4:5" x14ac:dyDescent="0.25">
      <c r="D4" s="82" t="s">
        <v>106</v>
      </c>
      <c r="E4" s="83">
        <v>87</v>
      </c>
    </row>
    <row r="5" spans="4:5" x14ac:dyDescent="0.25">
      <c r="D5" s="81" t="s">
        <v>118</v>
      </c>
      <c r="E5" s="83">
        <v>50</v>
      </c>
    </row>
    <row r="6" spans="4:5" x14ac:dyDescent="0.25">
      <c r="D6" s="82" t="s">
        <v>109</v>
      </c>
      <c r="E6" s="83">
        <v>50</v>
      </c>
    </row>
    <row r="7" spans="4:5" x14ac:dyDescent="0.25">
      <c r="D7" s="81" t="s">
        <v>119</v>
      </c>
      <c r="E7" s="83">
        <v>54</v>
      </c>
    </row>
    <row r="8" spans="4:5" x14ac:dyDescent="0.25">
      <c r="D8" s="82" t="s">
        <v>109</v>
      </c>
      <c r="E8" s="83">
        <v>54</v>
      </c>
    </row>
    <row r="9" spans="4:5" x14ac:dyDescent="0.25">
      <c r="D9" s="81" t="s">
        <v>120</v>
      </c>
      <c r="E9" s="83">
        <v>111</v>
      </c>
    </row>
    <row r="10" spans="4:5" x14ac:dyDescent="0.25">
      <c r="D10" s="82" t="s">
        <v>109</v>
      </c>
      <c r="E10" s="83">
        <v>111</v>
      </c>
    </row>
    <row r="11" spans="4:5" x14ac:dyDescent="0.25">
      <c r="D11" s="81" t="s">
        <v>214</v>
      </c>
      <c r="E11" s="83">
        <v>466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8"/>
  <sheetViews>
    <sheetView workbookViewId="0">
      <selection activeCell="D4" sqref="D4"/>
    </sheetView>
  </sheetViews>
  <sheetFormatPr defaultRowHeight="15" x14ac:dyDescent="0.25"/>
  <cols>
    <col min="1" max="1" width="13.140625" bestFit="1" customWidth="1"/>
    <col min="2" max="2" width="12.5703125" bestFit="1" customWidth="1"/>
  </cols>
  <sheetData>
    <row r="3" spans="1:2" x14ac:dyDescent="0.25">
      <c r="A3" s="80" t="s">
        <v>215</v>
      </c>
      <c r="B3" t="s">
        <v>216</v>
      </c>
    </row>
    <row r="4" spans="1:2" x14ac:dyDescent="0.25">
      <c r="A4" s="81" t="s">
        <v>117</v>
      </c>
      <c r="B4" s="83">
        <v>426</v>
      </c>
    </row>
    <row r="5" spans="1:2" x14ac:dyDescent="0.25">
      <c r="A5" s="81" t="s">
        <v>120</v>
      </c>
      <c r="B5" s="83">
        <v>295</v>
      </c>
    </row>
    <row r="6" spans="1:2" x14ac:dyDescent="0.25">
      <c r="A6" s="81" t="s">
        <v>119</v>
      </c>
      <c r="B6" s="83">
        <v>211</v>
      </c>
    </row>
    <row r="7" spans="1:2" x14ac:dyDescent="0.25">
      <c r="A7" s="81" t="s">
        <v>118</v>
      </c>
      <c r="B7" s="83">
        <v>162</v>
      </c>
    </row>
    <row r="8" spans="1:2" x14ac:dyDescent="0.25">
      <c r="A8" s="81" t="s">
        <v>214</v>
      </c>
      <c r="B8" s="83">
        <v>1094</v>
      </c>
    </row>
  </sheetData>
  <pageMargins left="0.7" right="0.7" top="0.75" bottom="0.75" header="0.3" footer="0.3"/>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E8"/>
  <sheetViews>
    <sheetView workbookViewId="0">
      <selection activeCell="E3" sqref="E3"/>
    </sheetView>
  </sheetViews>
  <sheetFormatPr defaultRowHeight="15" x14ac:dyDescent="0.25"/>
  <cols>
    <col min="1" max="1" width="13.140625" bestFit="1" customWidth="1"/>
    <col min="2" max="2" width="12.5703125" bestFit="1" customWidth="1"/>
  </cols>
  <sheetData>
    <row r="3" spans="1:5" x14ac:dyDescent="0.25">
      <c r="A3" s="80" t="s">
        <v>215</v>
      </c>
      <c r="B3" t="s">
        <v>216</v>
      </c>
    </row>
    <row r="4" spans="1:5" x14ac:dyDescent="0.25">
      <c r="A4" s="81" t="s">
        <v>240</v>
      </c>
      <c r="B4" s="83">
        <v>1018</v>
      </c>
    </row>
    <row r="5" spans="1:5" x14ac:dyDescent="0.25">
      <c r="A5" s="81" t="s">
        <v>243</v>
      </c>
      <c r="B5" s="83">
        <v>76</v>
      </c>
    </row>
    <row r="6" spans="1:5" x14ac:dyDescent="0.25">
      <c r="A6" s="81" t="s">
        <v>214</v>
      </c>
      <c r="B6" s="83">
        <v>1094</v>
      </c>
    </row>
    <row r="8" spans="1:5" x14ac:dyDescent="0.25">
      <c r="E8" t="s">
        <v>93</v>
      </c>
    </row>
  </sheetData>
  <pageMargins left="0.7" right="0.7" top="0.75" bottom="0.75" header="0.3" footer="0.3"/>
  <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workbookViewId="0">
      <selection activeCell="E2" sqref="E2"/>
    </sheetView>
  </sheetViews>
  <sheetFormatPr defaultRowHeight="15" x14ac:dyDescent="0.25"/>
  <cols>
    <col min="2" max="2" width="16" bestFit="1" customWidth="1"/>
  </cols>
  <sheetData>
    <row r="1" spans="1:3" x14ac:dyDescent="0.25">
      <c r="A1" t="s">
        <v>262</v>
      </c>
      <c r="B1" t="s">
        <v>263</v>
      </c>
      <c r="C1" t="s">
        <v>264</v>
      </c>
    </row>
    <row r="2" spans="1:3" x14ac:dyDescent="0.25">
      <c r="A2">
        <v>1</v>
      </c>
      <c r="B2">
        <v>40</v>
      </c>
      <c r="C2">
        <v>770</v>
      </c>
    </row>
    <row r="3" spans="1:3" x14ac:dyDescent="0.25">
      <c r="A3">
        <v>2</v>
      </c>
      <c r="B3">
        <v>30</v>
      </c>
      <c r="C3">
        <v>670</v>
      </c>
    </row>
    <row r="4" spans="1:3" x14ac:dyDescent="0.25">
      <c r="A4">
        <v>3</v>
      </c>
      <c r="B4">
        <v>15</v>
      </c>
      <c r="C4">
        <v>567</v>
      </c>
    </row>
    <row r="5" spans="1:3" x14ac:dyDescent="0.25">
      <c r="A5">
        <v>4</v>
      </c>
      <c r="B5">
        <v>23</v>
      </c>
      <c r="C5">
        <v>784</v>
      </c>
    </row>
    <row r="6" spans="1:3" x14ac:dyDescent="0.25">
      <c r="A6">
        <v>5</v>
      </c>
      <c r="B6">
        <v>51</v>
      </c>
      <c r="C6">
        <v>800</v>
      </c>
    </row>
    <row r="7" spans="1:3" x14ac:dyDescent="0.25">
      <c r="A7">
        <v>6</v>
      </c>
      <c r="B7">
        <v>43</v>
      </c>
      <c r="C7">
        <v>680</v>
      </c>
    </row>
    <row r="8" spans="1:3" x14ac:dyDescent="0.25">
      <c r="A8">
        <v>7</v>
      </c>
      <c r="B8">
        <v>29</v>
      </c>
      <c r="C8">
        <v>578</v>
      </c>
    </row>
    <row r="9" spans="1:3" x14ac:dyDescent="0.25">
      <c r="A9">
        <v>8</v>
      </c>
      <c r="B9">
        <v>41</v>
      </c>
      <c r="C9">
        <v>679</v>
      </c>
    </row>
    <row r="10" spans="1:3" x14ac:dyDescent="0.25">
      <c r="A10">
        <v>9</v>
      </c>
      <c r="B10">
        <v>50</v>
      </c>
      <c r="C10">
        <v>702</v>
      </c>
    </row>
    <row r="11" spans="1:3" x14ac:dyDescent="0.25">
      <c r="A11">
        <v>10</v>
      </c>
      <c r="B11">
        <v>30</v>
      </c>
      <c r="C11">
        <v>504</v>
      </c>
    </row>
  </sheetData>
  <pageMargins left="0.7" right="0.7" top="0.75" bottom="0.75" header="0.3" footer="0.3"/>
  <drawing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G15"/>
  <sheetViews>
    <sheetView workbookViewId="0">
      <selection activeCell="G14" sqref="G14"/>
    </sheetView>
  </sheetViews>
  <sheetFormatPr defaultRowHeight="15" x14ac:dyDescent="0.25"/>
  <cols>
    <col min="4" max="4" width="28.85546875" bestFit="1" customWidth="1"/>
  </cols>
  <sheetData>
    <row r="2" spans="1:7" x14ac:dyDescent="0.25">
      <c r="D2" t="s">
        <v>244</v>
      </c>
    </row>
    <row r="3" spans="1:7" x14ac:dyDescent="0.25">
      <c r="A3" t="s">
        <v>245</v>
      </c>
      <c r="B3" t="s">
        <v>246</v>
      </c>
      <c r="D3" t="s">
        <v>248</v>
      </c>
      <c r="F3" t="s">
        <v>247</v>
      </c>
      <c r="G3" t="s">
        <v>246</v>
      </c>
    </row>
    <row r="4" spans="1:7" x14ac:dyDescent="0.25">
      <c r="D4" t="s">
        <v>249</v>
      </c>
      <c r="E4" t="s">
        <v>250</v>
      </c>
    </row>
    <row r="5" spans="1:7" x14ac:dyDescent="0.25">
      <c r="D5" t="s">
        <v>251</v>
      </c>
      <c r="E5" t="s">
        <v>93</v>
      </c>
    </row>
    <row r="6" spans="1:7" x14ac:dyDescent="0.25">
      <c r="D6" t="s">
        <v>252</v>
      </c>
      <c r="E6">
        <v>3</v>
      </c>
    </row>
    <row r="7" spans="1:7" x14ac:dyDescent="0.25">
      <c r="D7" t="s">
        <v>253</v>
      </c>
      <c r="E7">
        <v>15</v>
      </c>
    </row>
    <row r="8" spans="1:7" x14ac:dyDescent="0.25">
      <c r="D8" t="s">
        <v>254</v>
      </c>
      <c r="E8">
        <v>20</v>
      </c>
    </row>
    <row r="9" spans="1:7" x14ac:dyDescent="0.25">
      <c r="D9" t="s">
        <v>255</v>
      </c>
      <c r="E9">
        <v>10</v>
      </c>
    </row>
    <row r="10" spans="1:7" x14ac:dyDescent="0.25">
      <c r="D10" t="s">
        <v>256</v>
      </c>
      <c r="E10">
        <v>8</v>
      </c>
    </row>
    <row r="11" spans="1:7" x14ac:dyDescent="0.25">
      <c r="D11" t="s">
        <v>257</v>
      </c>
      <c r="E11">
        <v>5</v>
      </c>
    </row>
    <row r="12" spans="1:7" x14ac:dyDescent="0.25">
      <c r="D12" t="s">
        <v>258</v>
      </c>
      <c r="E12">
        <v>3</v>
      </c>
    </row>
    <row r="13" spans="1:7" x14ac:dyDescent="0.25">
      <c r="D13" t="s">
        <v>259</v>
      </c>
      <c r="E13">
        <v>2</v>
      </c>
    </row>
    <row r="14" spans="1:7" x14ac:dyDescent="0.25">
      <c r="D14" t="s">
        <v>260</v>
      </c>
      <c r="E14">
        <v>1</v>
      </c>
    </row>
    <row r="15" spans="1:7" x14ac:dyDescent="0.25">
      <c r="D15" t="s">
        <v>261</v>
      </c>
      <c r="E15">
        <v>1</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C14"/>
  <sheetViews>
    <sheetView topLeftCell="A2" workbookViewId="0">
      <selection activeCell="A3" sqref="A3"/>
    </sheetView>
  </sheetViews>
  <sheetFormatPr defaultRowHeight="15" x14ac:dyDescent="0.25"/>
  <cols>
    <col min="1" max="1" width="13.140625" bestFit="1" customWidth="1"/>
    <col min="2" max="2" width="12.5703125" bestFit="1" customWidth="1"/>
    <col min="3" max="3" width="18.85546875" bestFit="1" customWidth="1"/>
  </cols>
  <sheetData>
    <row r="3" spans="1:3" x14ac:dyDescent="0.25">
      <c r="A3" s="80" t="s">
        <v>215</v>
      </c>
      <c r="B3" t="s">
        <v>216</v>
      </c>
      <c r="C3" t="s">
        <v>217</v>
      </c>
    </row>
    <row r="4" spans="1:3" x14ac:dyDescent="0.25">
      <c r="A4" s="81" t="s">
        <v>108</v>
      </c>
      <c r="B4" s="83">
        <v>164</v>
      </c>
      <c r="C4" s="83">
        <v>370</v>
      </c>
    </row>
    <row r="5" spans="1:3" x14ac:dyDescent="0.25">
      <c r="A5" s="81" t="s">
        <v>143</v>
      </c>
      <c r="B5" s="83">
        <v>45</v>
      </c>
      <c r="C5" s="83">
        <v>34</v>
      </c>
    </row>
    <row r="6" spans="1:3" x14ac:dyDescent="0.25">
      <c r="A6" s="81" t="s">
        <v>145</v>
      </c>
      <c r="B6" s="83">
        <v>67</v>
      </c>
      <c r="C6" s="83">
        <v>67</v>
      </c>
    </row>
    <row r="7" spans="1:3" x14ac:dyDescent="0.25">
      <c r="A7" s="81" t="s">
        <v>129</v>
      </c>
      <c r="B7" s="83">
        <v>12</v>
      </c>
      <c r="C7" s="83">
        <v>6</v>
      </c>
    </row>
    <row r="8" spans="1:3" x14ac:dyDescent="0.25">
      <c r="A8" s="81" t="s">
        <v>109</v>
      </c>
      <c r="B8" s="83">
        <v>215</v>
      </c>
      <c r="C8" s="83">
        <v>398</v>
      </c>
    </row>
    <row r="9" spans="1:3" x14ac:dyDescent="0.25">
      <c r="A9" s="81" t="s">
        <v>106</v>
      </c>
      <c r="B9" s="83">
        <v>87</v>
      </c>
      <c r="C9" s="83">
        <v>120</v>
      </c>
    </row>
    <row r="10" spans="1:3" x14ac:dyDescent="0.25">
      <c r="A10" s="81" t="s">
        <v>107</v>
      </c>
      <c r="B10" s="83">
        <v>268</v>
      </c>
      <c r="C10" s="83">
        <v>330</v>
      </c>
    </row>
    <row r="11" spans="1:3" x14ac:dyDescent="0.25">
      <c r="A11" s="81" t="s">
        <v>133</v>
      </c>
      <c r="B11" s="83">
        <v>78</v>
      </c>
      <c r="C11" s="83">
        <v>5</v>
      </c>
    </row>
    <row r="12" spans="1:3" x14ac:dyDescent="0.25">
      <c r="A12" s="81" t="s">
        <v>142</v>
      </c>
      <c r="B12" s="83">
        <v>69</v>
      </c>
      <c r="C12" s="83">
        <v>12</v>
      </c>
    </row>
    <row r="13" spans="1:3" x14ac:dyDescent="0.25">
      <c r="A13" s="81" t="s">
        <v>144</v>
      </c>
      <c r="B13" s="83">
        <v>89</v>
      </c>
      <c r="C13" s="83">
        <v>16</v>
      </c>
    </row>
    <row r="14" spans="1:3" x14ac:dyDescent="0.25">
      <c r="A14" s="81" t="s">
        <v>214</v>
      </c>
      <c r="B14" s="83">
        <v>1094</v>
      </c>
      <c r="C14" s="83">
        <v>1358</v>
      </c>
    </row>
  </sheetData>
  <pageMargins left="0.7" right="0.7" top="0.75" bottom="0.75" header="0.3" footer="0.3"/>
  <drawing r:id="rId2"/>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9"/>
  <sheetViews>
    <sheetView workbookViewId="0">
      <selection activeCell="B11" sqref="B11"/>
    </sheetView>
  </sheetViews>
  <sheetFormatPr defaultRowHeight="15" x14ac:dyDescent="0.25"/>
  <cols>
    <col min="1" max="1" width="19.140625" style="106" bestFit="1" customWidth="1"/>
    <col min="2" max="16384" width="9.140625" style="106"/>
  </cols>
  <sheetData>
    <row r="1" spans="1:10" ht="15.75" thickBot="1" x14ac:dyDescent="0.3">
      <c r="A1" s="135" t="s">
        <v>274</v>
      </c>
      <c r="B1" s="136"/>
      <c r="C1" s="136"/>
      <c r="D1" s="136"/>
      <c r="E1" s="136"/>
      <c r="F1" s="136"/>
      <c r="G1" s="136"/>
      <c r="H1" s="136"/>
      <c r="I1" s="136"/>
      <c r="J1" s="137"/>
    </row>
    <row r="9" spans="1:10" x14ac:dyDescent="0.25">
      <c r="D9" s="107"/>
    </row>
  </sheetData>
  <mergeCells count="1">
    <mergeCell ref="A1:J1"/>
  </mergeCells>
  <pageMargins left="0.7" right="0.7" top="0.75" bottom="0.75" header="0.3" footer="0.3"/>
  <drawing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workbookViewId="0">
      <selection activeCell="D8" sqref="D8"/>
    </sheetView>
  </sheetViews>
  <sheetFormatPr defaultRowHeight="15" x14ac:dyDescent="0.25"/>
  <cols>
    <col min="1" max="1" width="19.7109375" bestFit="1" customWidth="1"/>
    <col min="2" max="2" width="19.42578125" bestFit="1" customWidth="1"/>
  </cols>
  <sheetData>
    <row r="1" spans="1:2" x14ac:dyDescent="0.25">
      <c r="A1" s="138" t="s">
        <v>266</v>
      </c>
      <c r="B1" s="138"/>
    </row>
    <row r="2" spans="1:2" x14ac:dyDescent="0.25">
      <c r="A2" s="105" t="s">
        <v>267</v>
      </c>
      <c r="B2" s="105" t="s">
        <v>268</v>
      </c>
    </row>
    <row r="3" spans="1:2" x14ac:dyDescent="0.25">
      <c r="A3" t="s">
        <v>273</v>
      </c>
      <c r="B3">
        <v>3250</v>
      </c>
    </row>
    <row r="4" spans="1:2" x14ac:dyDescent="0.25">
      <c r="A4" t="s">
        <v>269</v>
      </c>
      <c r="B4">
        <v>1640</v>
      </c>
    </row>
    <row r="5" spans="1:2" x14ac:dyDescent="0.25">
      <c r="A5" t="s">
        <v>272</v>
      </c>
      <c r="B5">
        <v>1120</v>
      </c>
    </row>
    <row r="6" spans="1:2" x14ac:dyDescent="0.25">
      <c r="A6" t="s">
        <v>271</v>
      </c>
      <c r="B6">
        <v>350</v>
      </c>
    </row>
    <row r="7" spans="1:2" x14ac:dyDescent="0.25">
      <c r="A7" t="s">
        <v>270</v>
      </c>
      <c r="B7">
        <v>180</v>
      </c>
    </row>
  </sheetData>
  <sortState ref="A2:B7">
    <sortCondition descending="1" ref="B2"/>
  </sortState>
  <mergeCells count="1">
    <mergeCell ref="A1:B1"/>
  </mergeCell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F13"/>
  <sheetViews>
    <sheetView topLeftCell="A3" workbookViewId="0">
      <selection activeCell="A3" sqref="A3:B13"/>
    </sheetView>
  </sheetViews>
  <sheetFormatPr defaultRowHeight="15" x14ac:dyDescent="0.25"/>
  <cols>
    <col min="2" max="2" width="12.5703125" bestFit="1" customWidth="1"/>
  </cols>
  <sheetData>
    <row r="3" spans="1:6" x14ac:dyDescent="0.25">
      <c r="A3" s="104" t="s">
        <v>215</v>
      </c>
      <c r="B3" s="104" t="s">
        <v>216</v>
      </c>
    </row>
    <row r="4" spans="1:6" x14ac:dyDescent="0.25">
      <c r="A4" s="81" t="s">
        <v>108</v>
      </c>
      <c r="B4" s="9">
        <v>164</v>
      </c>
    </row>
    <row r="5" spans="1:6" x14ac:dyDescent="0.25">
      <c r="A5" s="81" t="s">
        <v>143</v>
      </c>
      <c r="B5" s="9">
        <v>45</v>
      </c>
      <c r="F5" t="s">
        <v>265</v>
      </c>
    </row>
    <row r="6" spans="1:6" x14ac:dyDescent="0.25">
      <c r="A6" s="81" t="s">
        <v>145</v>
      </c>
      <c r="B6" s="9">
        <v>67</v>
      </c>
    </row>
    <row r="7" spans="1:6" x14ac:dyDescent="0.25">
      <c r="A7" s="81" t="s">
        <v>129</v>
      </c>
      <c r="B7" s="9">
        <v>12</v>
      </c>
    </row>
    <row r="8" spans="1:6" x14ac:dyDescent="0.25">
      <c r="A8" s="81" t="s">
        <v>109</v>
      </c>
      <c r="B8" s="9">
        <v>215</v>
      </c>
    </row>
    <row r="9" spans="1:6" x14ac:dyDescent="0.25">
      <c r="A9" s="81" t="s">
        <v>106</v>
      </c>
      <c r="B9" s="9">
        <v>87</v>
      </c>
    </row>
    <row r="10" spans="1:6" x14ac:dyDescent="0.25">
      <c r="A10" s="81" t="s">
        <v>107</v>
      </c>
      <c r="B10" s="9">
        <v>268</v>
      </c>
    </row>
    <row r="11" spans="1:6" x14ac:dyDescent="0.25">
      <c r="A11" s="81" t="s">
        <v>133</v>
      </c>
      <c r="B11" s="9">
        <v>78</v>
      </c>
    </row>
    <row r="12" spans="1:6" x14ac:dyDescent="0.25">
      <c r="A12" s="81" t="s">
        <v>142</v>
      </c>
      <c r="B12" s="9">
        <v>69</v>
      </c>
    </row>
    <row r="13" spans="1:6" x14ac:dyDescent="0.25">
      <c r="A13" s="81" t="s">
        <v>144</v>
      </c>
      <c r="B13" s="9">
        <v>89</v>
      </c>
    </row>
  </sheetData>
  <pageMargins left="0.7" right="0.7" top="0.75" bottom="0.75" header="0.3" footer="0.3"/>
  <drawing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14"/>
  <sheetViews>
    <sheetView workbookViewId="0">
      <selection activeCell="A3" sqref="A3:B13"/>
    </sheetView>
  </sheetViews>
  <sheetFormatPr defaultRowHeight="15" x14ac:dyDescent="0.25"/>
  <cols>
    <col min="1" max="1" width="13.140625" bestFit="1" customWidth="1"/>
    <col min="2" max="2" width="12.5703125" bestFit="1" customWidth="1"/>
  </cols>
  <sheetData>
    <row r="3" spans="1:2" x14ac:dyDescent="0.25">
      <c r="A3" s="80" t="s">
        <v>215</v>
      </c>
      <c r="B3" t="s">
        <v>216</v>
      </c>
    </row>
    <row r="4" spans="1:2" x14ac:dyDescent="0.25">
      <c r="A4" s="81" t="s">
        <v>108</v>
      </c>
      <c r="B4" s="9">
        <v>164</v>
      </c>
    </row>
    <row r="5" spans="1:2" x14ac:dyDescent="0.25">
      <c r="A5" s="81" t="s">
        <v>143</v>
      </c>
      <c r="B5" s="9">
        <v>45</v>
      </c>
    </row>
    <row r="6" spans="1:2" x14ac:dyDescent="0.25">
      <c r="A6" s="81" t="s">
        <v>145</v>
      </c>
      <c r="B6" s="9">
        <v>67</v>
      </c>
    </row>
    <row r="7" spans="1:2" x14ac:dyDescent="0.25">
      <c r="A7" s="81" t="s">
        <v>129</v>
      </c>
      <c r="B7" s="9">
        <v>12</v>
      </c>
    </row>
    <row r="8" spans="1:2" x14ac:dyDescent="0.25">
      <c r="A8" s="81" t="s">
        <v>109</v>
      </c>
      <c r="B8" s="9">
        <v>215</v>
      </c>
    </row>
    <row r="9" spans="1:2" x14ac:dyDescent="0.25">
      <c r="A9" s="81" t="s">
        <v>106</v>
      </c>
      <c r="B9" s="9">
        <v>87</v>
      </c>
    </row>
    <row r="10" spans="1:2" x14ac:dyDescent="0.25">
      <c r="A10" s="81" t="s">
        <v>107</v>
      </c>
      <c r="B10" s="9">
        <v>268</v>
      </c>
    </row>
    <row r="11" spans="1:2" x14ac:dyDescent="0.25">
      <c r="A11" s="81" t="s">
        <v>133</v>
      </c>
      <c r="B11" s="9">
        <v>78</v>
      </c>
    </row>
    <row r="12" spans="1:2" x14ac:dyDescent="0.25">
      <c r="A12" s="81" t="s">
        <v>142</v>
      </c>
      <c r="B12" s="9">
        <v>69</v>
      </c>
    </row>
    <row r="13" spans="1:2" x14ac:dyDescent="0.25">
      <c r="A13" s="81" t="s">
        <v>144</v>
      </c>
      <c r="B13" s="9">
        <v>89</v>
      </c>
    </row>
    <row r="14" spans="1:2" x14ac:dyDescent="0.25">
      <c r="A14" s="81" t="s">
        <v>214</v>
      </c>
      <c r="B14" s="9">
        <v>1094</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8"/>
  <sheetViews>
    <sheetView workbookViewId="0">
      <selection activeCell="A3" sqref="A3"/>
    </sheetView>
  </sheetViews>
  <sheetFormatPr defaultRowHeight="15" x14ac:dyDescent="0.25"/>
  <cols>
    <col min="1" max="1" width="13.140625" bestFit="1" customWidth="1"/>
    <col min="2" max="2" width="12.5703125" bestFit="1" customWidth="1"/>
  </cols>
  <sheetData>
    <row r="3" spans="1:2" x14ac:dyDescent="0.25">
      <c r="A3" s="80" t="s">
        <v>215</v>
      </c>
      <c r="B3" t="s">
        <v>216</v>
      </c>
    </row>
    <row r="4" spans="1:2" x14ac:dyDescent="0.25">
      <c r="A4" s="81" t="s">
        <v>120</v>
      </c>
      <c r="B4" s="83">
        <v>295</v>
      </c>
    </row>
    <row r="5" spans="1:2" x14ac:dyDescent="0.25">
      <c r="A5" s="81" t="s">
        <v>119</v>
      </c>
      <c r="B5" s="83">
        <v>211</v>
      </c>
    </row>
    <row r="6" spans="1:2" x14ac:dyDescent="0.25">
      <c r="A6" s="81" t="s">
        <v>118</v>
      </c>
      <c r="B6" s="83">
        <v>162</v>
      </c>
    </row>
    <row r="7" spans="1:2" x14ac:dyDescent="0.25">
      <c r="A7" s="81" t="s">
        <v>117</v>
      </c>
      <c r="B7" s="83">
        <v>426</v>
      </c>
    </row>
    <row r="8" spans="1:2" x14ac:dyDescent="0.25">
      <c r="A8" s="81" t="s">
        <v>214</v>
      </c>
      <c r="B8" s="83">
        <v>1094</v>
      </c>
    </row>
  </sheetData>
  <pageMargins left="0.7" right="0.7" top="0.75" bottom="0.75" header="0.3" footer="0.3"/>
  <drawing r:id="rId2"/>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13"/>
  <sheetViews>
    <sheetView workbookViewId="0">
      <selection activeCell="A9" sqref="A4:A13"/>
    </sheetView>
  </sheetViews>
  <sheetFormatPr defaultRowHeight="15" x14ac:dyDescent="0.25"/>
  <cols>
    <col min="1" max="1" width="13.140625" bestFit="1" customWidth="1"/>
    <col min="2" max="2" width="12.5703125" bestFit="1" customWidth="1"/>
  </cols>
  <sheetData>
    <row r="3" spans="1:2" x14ac:dyDescent="0.25">
      <c r="A3" s="80" t="s">
        <v>215</v>
      </c>
      <c r="B3" t="s">
        <v>216</v>
      </c>
    </row>
    <row r="4" spans="1:2" x14ac:dyDescent="0.25">
      <c r="A4" s="81" t="s">
        <v>107</v>
      </c>
      <c r="B4" s="83">
        <v>268</v>
      </c>
    </row>
    <row r="5" spans="1:2" x14ac:dyDescent="0.25">
      <c r="A5" s="81" t="s">
        <v>109</v>
      </c>
      <c r="B5" s="83">
        <v>215</v>
      </c>
    </row>
    <row r="6" spans="1:2" x14ac:dyDescent="0.25">
      <c r="A6" s="81" t="s">
        <v>108</v>
      </c>
      <c r="B6" s="83">
        <v>164</v>
      </c>
    </row>
    <row r="7" spans="1:2" x14ac:dyDescent="0.25">
      <c r="A7" s="81" t="s">
        <v>144</v>
      </c>
      <c r="B7" s="83">
        <v>89</v>
      </c>
    </row>
    <row r="8" spans="1:2" x14ac:dyDescent="0.25">
      <c r="A8" s="81" t="s">
        <v>106</v>
      </c>
      <c r="B8" s="83">
        <v>87</v>
      </c>
    </row>
    <row r="9" spans="1:2" x14ac:dyDescent="0.25">
      <c r="A9" s="81" t="s">
        <v>133</v>
      </c>
      <c r="B9" s="83">
        <v>78</v>
      </c>
    </row>
    <row r="10" spans="1:2" x14ac:dyDescent="0.25">
      <c r="A10" s="81" t="s">
        <v>142</v>
      </c>
      <c r="B10" s="83">
        <v>69</v>
      </c>
    </row>
    <row r="11" spans="1:2" x14ac:dyDescent="0.25">
      <c r="A11" s="81" t="s">
        <v>145</v>
      </c>
      <c r="B11" s="83">
        <v>67</v>
      </c>
    </row>
    <row r="12" spans="1:2" x14ac:dyDescent="0.25">
      <c r="A12" s="81" t="s">
        <v>143</v>
      </c>
      <c r="B12" s="83">
        <v>45</v>
      </c>
    </row>
    <row r="13" spans="1:2" x14ac:dyDescent="0.25">
      <c r="A13" s="81" t="s">
        <v>129</v>
      </c>
      <c r="B13" s="83">
        <v>12</v>
      </c>
    </row>
  </sheetData>
  <pageMargins left="0.7" right="0.7" top="0.75" bottom="0.75" header="0.3" footer="0.3"/>
  <drawing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
  <sheetViews>
    <sheetView showRowColHeaders="0" tabSelected="1" workbookViewId="0">
      <selection activeCell="P11" sqref="P11"/>
    </sheetView>
  </sheetViews>
  <sheetFormatPr defaultRowHeight="15" x14ac:dyDescent="0.25"/>
  <cols>
    <col min="1" max="16384" width="9.140625" style="108"/>
  </cols>
  <sheetData>
    <row r="1" spans="1:11" ht="36.75" thickBot="1" x14ac:dyDescent="0.6">
      <c r="A1" s="142" t="s">
        <v>350</v>
      </c>
      <c r="B1" s="142"/>
      <c r="C1" s="142"/>
      <c r="D1" s="142"/>
      <c r="E1" s="142"/>
      <c r="F1" s="142"/>
      <c r="G1" s="142"/>
      <c r="H1" s="142"/>
      <c r="I1" s="142"/>
      <c r="J1" s="142"/>
      <c r="K1" s="142"/>
    </row>
  </sheetData>
  <mergeCells count="1">
    <mergeCell ref="A1:K1"/>
  </mergeCells>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9"/>
  <sheetViews>
    <sheetView workbookViewId="0">
      <selection activeCell="C4" sqref="C4"/>
    </sheetView>
  </sheetViews>
  <sheetFormatPr defaultRowHeight="15" x14ac:dyDescent="0.25"/>
  <cols>
    <col min="1" max="1" width="13.140625" bestFit="1" customWidth="1"/>
    <col min="2" max="2" width="12.5703125" bestFit="1" customWidth="1"/>
  </cols>
  <sheetData>
    <row r="3" spans="1:2" x14ac:dyDescent="0.25">
      <c r="A3" s="80" t="s">
        <v>215</v>
      </c>
      <c r="B3" t="s">
        <v>216</v>
      </c>
    </row>
    <row r="4" spans="1:2" x14ac:dyDescent="0.25">
      <c r="A4" s="81" t="s">
        <v>115</v>
      </c>
      <c r="B4" s="83">
        <v>6</v>
      </c>
    </row>
    <row r="5" spans="1:2" x14ac:dyDescent="0.25">
      <c r="A5" s="81" t="s">
        <v>114</v>
      </c>
      <c r="B5" s="83">
        <v>5</v>
      </c>
    </row>
    <row r="6" spans="1:2" x14ac:dyDescent="0.25">
      <c r="A6" s="81" t="s">
        <v>111</v>
      </c>
      <c r="B6" s="83">
        <v>4</v>
      </c>
    </row>
    <row r="7" spans="1:2" x14ac:dyDescent="0.25">
      <c r="A7" s="81" t="s">
        <v>110</v>
      </c>
      <c r="B7" s="83">
        <v>3</v>
      </c>
    </row>
    <row r="8" spans="1:2" x14ac:dyDescent="0.25">
      <c r="A8" s="81" t="s">
        <v>113</v>
      </c>
      <c r="B8" s="83">
        <v>2</v>
      </c>
    </row>
    <row r="9" spans="1:2" x14ac:dyDescent="0.25">
      <c r="A9" s="81" t="s">
        <v>112</v>
      </c>
      <c r="B9" s="83">
        <v>1</v>
      </c>
    </row>
  </sheetData>
  <pageMargins left="0.7" right="0.7" top="0.75" bottom="0.75" header="0.3" footer="0.3"/>
  <drawing r:id="rId2"/>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3"/>
  <sheetViews>
    <sheetView workbookViewId="0">
      <selection activeCell="B17" sqref="B17"/>
    </sheetView>
  </sheetViews>
  <sheetFormatPr defaultRowHeight="15" x14ac:dyDescent="0.25"/>
  <cols>
    <col min="1" max="1" width="18.42578125" bestFit="1" customWidth="1"/>
    <col min="2" max="2" width="12.7109375" bestFit="1" customWidth="1"/>
    <col min="3" max="3" width="10.140625" bestFit="1" customWidth="1"/>
    <col min="5" max="5" width="11.140625" bestFit="1" customWidth="1"/>
    <col min="6" max="13" width="15.7109375" customWidth="1"/>
  </cols>
  <sheetData>
    <row r="1" spans="1:13" x14ac:dyDescent="0.25">
      <c r="A1" t="s">
        <v>318</v>
      </c>
      <c r="B1" s="130">
        <v>1000000</v>
      </c>
    </row>
    <row r="2" spans="1:13" x14ac:dyDescent="0.25">
      <c r="A2" t="s">
        <v>346</v>
      </c>
      <c r="B2" s="129">
        <v>0.08</v>
      </c>
    </row>
    <row r="3" spans="1:13" x14ac:dyDescent="0.25">
      <c r="A3" t="s">
        <v>347</v>
      </c>
      <c r="B3" s="131">
        <v>30</v>
      </c>
    </row>
    <row r="4" spans="1:13" x14ac:dyDescent="0.25">
      <c r="A4" t="s">
        <v>348</v>
      </c>
      <c r="B4" s="6">
        <f>PMT(B2/12,B3,-B1)</f>
        <v>36888.32383968668</v>
      </c>
    </row>
    <row r="5" spans="1:13" x14ac:dyDescent="0.25">
      <c r="E5" s="7">
        <f>$B$4</f>
        <v>36888.32383968668</v>
      </c>
      <c r="F5" s="4">
        <v>0.06</v>
      </c>
      <c r="G5" s="99">
        <v>6.5000000000000002E-2</v>
      </c>
      <c r="H5" s="4">
        <v>7.0000000000000007E-2</v>
      </c>
      <c r="I5" s="99">
        <v>7.4999999999999997E-2</v>
      </c>
      <c r="J5" s="4">
        <v>0.08</v>
      </c>
      <c r="K5" s="99">
        <v>8.5000000000000006E-2</v>
      </c>
      <c r="L5" s="4">
        <v>0.09</v>
      </c>
      <c r="M5" s="99">
        <v>9.5000000000000001E-2</v>
      </c>
    </row>
    <row r="6" spans="1:13" x14ac:dyDescent="0.25">
      <c r="B6" t="s">
        <v>349</v>
      </c>
      <c r="C6" s="7">
        <f>($B$4)</f>
        <v>36888.32383968668</v>
      </c>
      <c r="E6" s="130">
        <v>1000000</v>
      </c>
      <c r="F6" s="7">
        <f t="dataTable" ref="F6:M12" dt2D="1" dtr="1" r1="B2" r2="B1"/>
        <v>35978.918413828032</v>
      </c>
      <c r="G6" s="7">
        <v>36204.983913145617</v>
      </c>
      <c r="H6" s="7">
        <v>36431.907248909381</v>
      </c>
      <c r="I6" s="7">
        <v>36659.687529869247</v>
      </c>
      <c r="J6" s="7">
        <v>36888.32383968668</v>
      </c>
      <c r="K6" s="7">
        <v>37117.815237056398</v>
      </c>
      <c r="L6" s="7">
        <v>37348.160755830344</v>
      </c>
      <c r="M6" s="7">
        <v>37579.359405144271</v>
      </c>
    </row>
    <row r="7" spans="1:13" x14ac:dyDescent="0.25">
      <c r="B7" s="4">
        <v>0.06</v>
      </c>
      <c r="C7" s="7">
        <f t="dataTable" ref="C7:C13" dt2D="0" dtr="0" r1="B2" ca="1"/>
        <v>35978.918413828032</v>
      </c>
      <c r="E7" s="130">
        <v>15000000</v>
      </c>
      <c r="F7" s="7">
        <v>539683.77620742051</v>
      </c>
      <c r="G7" s="7">
        <v>543074.75869718427</v>
      </c>
      <c r="H7" s="7">
        <v>546478.60873364075</v>
      </c>
      <c r="I7" s="7">
        <v>549895.31294803869</v>
      </c>
      <c r="J7" s="7">
        <v>553324.85759530019</v>
      </c>
      <c r="K7" s="7">
        <v>556767.22855584591</v>
      </c>
      <c r="L7" s="7">
        <v>560222.41133745515</v>
      </c>
      <c r="M7" s="7">
        <v>563690.39107716409</v>
      </c>
    </row>
    <row r="8" spans="1:13" x14ac:dyDescent="0.25">
      <c r="B8" s="99">
        <v>6.5000000000000002E-2</v>
      </c>
      <c r="C8" s="7">
        <v>36204.983913145617</v>
      </c>
      <c r="E8" s="130">
        <v>20000000</v>
      </c>
      <c r="F8" s="7">
        <v>719578.36827656056</v>
      </c>
      <c r="G8" s="7">
        <v>724099.67826291232</v>
      </c>
      <c r="H8" s="7">
        <v>728638.14497818763</v>
      </c>
      <c r="I8" s="7">
        <v>733193.75059738487</v>
      </c>
      <c r="J8" s="7">
        <v>737766.47679373354</v>
      </c>
      <c r="K8" s="7">
        <v>742356.304741128</v>
      </c>
      <c r="L8" s="7">
        <v>746963.21511660679</v>
      </c>
      <c r="M8" s="7">
        <v>751587.18810288538</v>
      </c>
    </row>
    <row r="9" spans="1:13" x14ac:dyDescent="0.25">
      <c r="B9" s="4">
        <v>7.0000000000000007E-2</v>
      </c>
      <c r="C9" s="7">
        <v>36431.907248909381</v>
      </c>
      <c r="E9" s="130">
        <v>25000000</v>
      </c>
      <c r="F9" s="7">
        <v>899472.96034570073</v>
      </c>
      <c r="G9" s="7">
        <v>905124.59782864037</v>
      </c>
      <c r="H9" s="7">
        <v>910797.68122273451</v>
      </c>
      <c r="I9" s="7">
        <v>916492.18824673106</v>
      </c>
      <c r="J9" s="7">
        <v>922208.09599216701</v>
      </c>
      <c r="K9" s="7">
        <v>927945.38092641009</v>
      </c>
      <c r="L9" s="7">
        <v>933704.01889575867</v>
      </c>
      <c r="M9" s="7">
        <v>939483.98512860667</v>
      </c>
    </row>
    <row r="10" spans="1:13" x14ac:dyDescent="0.25">
      <c r="B10" s="99">
        <v>7.4999999999999997E-2</v>
      </c>
      <c r="C10" s="7">
        <v>36659.687529869247</v>
      </c>
      <c r="E10" s="130">
        <v>30000000</v>
      </c>
      <c r="F10" s="7">
        <v>1079367.552414841</v>
      </c>
      <c r="G10" s="7">
        <v>1086149.5173943685</v>
      </c>
      <c r="H10" s="7">
        <v>1092957.2174672815</v>
      </c>
      <c r="I10" s="7">
        <v>1099790.6258960774</v>
      </c>
      <c r="J10" s="7">
        <v>1106649.7151906004</v>
      </c>
      <c r="K10" s="7">
        <v>1113534.4571116918</v>
      </c>
      <c r="L10" s="7">
        <v>1120444.8226749103</v>
      </c>
      <c r="M10" s="7">
        <v>1127380.7821543282</v>
      </c>
    </row>
    <row r="11" spans="1:13" x14ac:dyDescent="0.25">
      <c r="B11" s="4">
        <v>0.08</v>
      </c>
      <c r="C11" s="7">
        <v>36888.32383968668</v>
      </c>
      <c r="E11" s="130">
        <v>35000000</v>
      </c>
      <c r="F11" s="7">
        <v>1259262.144483981</v>
      </c>
      <c r="G11" s="7">
        <v>1267174.4369600967</v>
      </c>
      <c r="H11" s="7">
        <v>1275116.7537118283</v>
      </c>
      <c r="I11" s="7">
        <v>1283089.0635454236</v>
      </c>
      <c r="J11" s="7">
        <v>1291091.3343890337</v>
      </c>
      <c r="K11" s="7">
        <v>1299123.5332969739</v>
      </c>
      <c r="L11" s="7">
        <v>1307185.6264540621</v>
      </c>
      <c r="M11" s="7">
        <v>1315277.5791800495</v>
      </c>
    </row>
    <row r="12" spans="1:13" x14ac:dyDescent="0.25">
      <c r="B12" s="99">
        <v>8.5000000000000006E-2</v>
      </c>
      <c r="C12" s="7">
        <v>37117.815237056398</v>
      </c>
      <c r="E12" s="130">
        <v>40000000</v>
      </c>
      <c r="F12" s="7">
        <v>1439156.7365531211</v>
      </c>
      <c r="G12" s="7">
        <v>1448199.3565258246</v>
      </c>
      <c r="H12" s="7">
        <v>1457276.2899563753</v>
      </c>
      <c r="I12" s="7">
        <v>1466387.5011947697</v>
      </c>
      <c r="J12" s="7">
        <v>1475532.9535874671</v>
      </c>
      <c r="K12" s="7">
        <v>1484712.609482256</v>
      </c>
      <c r="L12" s="7">
        <v>1493926.4302332136</v>
      </c>
      <c r="M12" s="7">
        <v>1503174.3762057708</v>
      </c>
    </row>
    <row r="13" spans="1:13" x14ac:dyDescent="0.25">
      <c r="B13" s="4">
        <v>0.09</v>
      </c>
      <c r="C13" s="7">
        <v>37348.160755830344</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B1:G15"/>
  <sheetViews>
    <sheetView showGridLines="0" workbookViewId="0"/>
  </sheetViews>
  <sheetFormatPr defaultRowHeight="15" outlineLevelRow="1" outlineLevelCol="1" x14ac:dyDescent="0.25"/>
  <cols>
    <col min="3" max="3" width="14" bestFit="1" customWidth="1"/>
    <col min="4" max="7" width="13.140625" bestFit="1" customWidth="1" outlineLevel="1"/>
  </cols>
  <sheetData>
    <row r="1" spans="2:7" ht="15.75" thickBot="1" x14ac:dyDescent="0.3"/>
    <row r="2" spans="2:7" ht="15.75" x14ac:dyDescent="0.25">
      <c r="B2" s="120" t="s">
        <v>339</v>
      </c>
      <c r="C2" s="120"/>
      <c r="D2" s="125"/>
      <c r="E2" s="125"/>
      <c r="F2" s="125"/>
      <c r="G2" s="125"/>
    </row>
    <row r="3" spans="2:7" ht="15.75" collapsed="1" x14ac:dyDescent="0.25">
      <c r="B3" s="119"/>
      <c r="C3" s="119"/>
      <c r="D3" s="126" t="s">
        <v>341</v>
      </c>
      <c r="E3" s="126" t="s">
        <v>335</v>
      </c>
      <c r="F3" s="126" t="s">
        <v>337</v>
      </c>
      <c r="G3" s="126" t="s">
        <v>338</v>
      </c>
    </row>
    <row r="4" spans="2:7" ht="33.75" hidden="1" outlineLevel="1" x14ac:dyDescent="0.25">
      <c r="B4" s="122"/>
      <c r="C4" s="122"/>
      <c r="D4" s="116"/>
      <c r="E4" s="128" t="s">
        <v>336</v>
      </c>
      <c r="F4" s="128" t="s">
        <v>336</v>
      </c>
      <c r="G4" s="128" t="s">
        <v>336</v>
      </c>
    </row>
    <row r="5" spans="2:7" x14ac:dyDescent="0.25">
      <c r="B5" s="123" t="s">
        <v>340</v>
      </c>
      <c r="C5" s="123"/>
      <c r="D5" s="121"/>
      <c r="E5" s="121"/>
      <c r="F5" s="121"/>
      <c r="G5" s="121"/>
    </row>
    <row r="6" spans="2:7" outlineLevel="1" x14ac:dyDescent="0.25">
      <c r="B6" s="122"/>
      <c r="C6" s="122" t="s">
        <v>332</v>
      </c>
      <c r="D6" s="117">
        <v>100000</v>
      </c>
      <c r="E6" s="127">
        <v>100000</v>
      </c>
      <c r="F6" s="127">
        <v>150000</v>
      </c>
      <c r="G6" s="127">
        <v>75000</v>
      </c>
    </row>
    <row r="7" spans="2:7" outlineLevel="1" x14ac:dyDescent="0.25">
      <c r="B7" s="122"/>
      <c r="C7" s="122" t="s">
        <v>327</v>
      </c>
      <c r="D7" s="117">
        <v>5000</v>
      </c>
      <c r="E7" s="127">
        <v>5000</v>
      </c>
      <c r="F7" s="127">
        <v>15000</v>
      </c>
      <c r="G7" s="127">
        <v>1000</v>
      </c>
    </row>
    <row r="8" spans="2:7" outlineLevel="1" x14ac:dyDescent="0.25">
      <c r="B8" s="122"/>
      <c r="C8" s="122" t="s">
        <v>328</v>
      </c>
      <c r="D8" s="117">
        <v>40000</v>
      </c>
      <c r="E8" s="127">
        <v>40000</v>
      </c>
      <c r="F8" s="127">
        <v>60000</v>
      </c>
      <c r="G8" s="127">
        <v>25000</v>
      </c>
    </row>
    <row r="9" spans="2:7" outlineLevel="1" x14ac:dyDescent="0.25">
      <c r="B9" s="122"/>
      <c r="C9" s="122" t="s">
        <v>333</v>
      </c>
      <c r="D9" s="117">
        <v>4000</v>
      </c>
      <c r="E9" s="127">
        <v>4000</v>
      </c>
      <c r="F9" s="127">
        <v>4000</v>
      </c>
      <c r="G9" s="127">
        <v>4000</v>
      </c>
    </row>
    <row r="10" spans="2:7" outlineLevel="1" x14ac:dyDescent="0.25">
      <c r="B10" s="122"/>
      <c r="C10" s="122" t="s">
        <v>330</v>
      </c>
      <c r="D10" s="117">
        <v>1000</v>
      </c>
      <c r="E10" s="127">
        <v>1000</v>
      </c>
      <c r="F10" s="127">
        <v>1500</v>
      </c>
      <c r="G10" s="127">
        <v>500</v>
      </c>
    </row>
    <row r="11" spans="2:7" x14ac:dyDescent="0.25">
      <c r="B11" s="123" t="s">
        <v>342</v>
      </c>
      <c r="C11" s="123"/>
      <c r="D11" s="121"/>
      <c r="E11" s="121"/>
      <c r="F11" s="121"/>
      <c r="G11" s="121"/>
    </row>
    <row r="12" spans="2:7" ht="15.75" outlineLevel="1" thickBot="1" x14ac:dyDescent="0.3">
      <c r="B12" s="124"/>
      <c r="C12" s="124" t="s">
        <v>334</v>
      </c>
      <c r="D12" s="118"/>
      <c r="E12" s="118"/>
      <c r="F12" s="118"/>
      <c r="G12" s="118"/>
    </row>
    <row r="13" spans="2:7" x14ac:dyDescent="0.25">
      <c r="B13" t="s">
        <v>343</v>
      </c>
    </row>
    <row r="14" spans="2:7" x14ac:dyDescent="0.25">
      <c r="B14" t="s">
        <v>344</v>
      </c>
    </row>
    <row r="15" spans="2:7" x14ac:dyDescent="0.25">
      <c r="B15" t="s">
        <v>345</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workbookViewId="0">
      <selection activeCell="B11" sqref="B11"/>
    </sheetView>
  </sheetViews>
  <sheetFormatPr defaultRowHeight="15" x14ac:dyDescent="0.25"/>
  <cols>
    <col min="1" max="1" width="13.42578125" bestFit="1" customWidth="1"/>
    <col min="2" max="2" width="11.140625" style="7" bestFit="1" customWidth="1"/>
  </cols>
  <sheetData>
    <row r="1" spans="1:2" x14ac:dyDescent="0.25">
      <c r="A1" s="3" t="s">
        <v>325</v>
      </c>
      <c r="B1" s="7">
        <v>100000</v>
      </c>
    </row>
    <row r="2" spans="1:2" x14ac:dyDescent="0.25">
      <c r="A2" s="3"/>
    </row>
    <row r="3" spans="1:2" x14ac:dyDescent="0.25">
      <c r="A3" s="3" t="s">
        <v>326</v>
      </c>
    </row>
    <row r="4" spans="1:2" x14ac:dyDescent="0.25">
      <c r="A4" s="3" t="s">
        <v>327</v>
      </c>
      <c r="B4" s="7">
        <v>5000</v>
      </c>
    </row>
    <row r="5" spans="1:2" x14ac:dyDescent="0.25">
      <c r="A5" s="3" t="s">
        <v>328</v>
      </c>
      <c r="B5" s="7">
        <v>40000</v>
      </c>
    </row>
    <row r="6" spans="1:2" x14ac:dyDescent="0.25">
      <c r="A6" s="3" t="s">
        <v>329</v>
      </c>
      <c r="B6" s="7">
        <v>4000</v>
      </c>
    </row>
    <row r="7" spans="1:2" x14ac:dyDescent="0.25">
      <c r="A7" s="3" t="s">
        <v>330</v>
      </c>
      <c r="B7" s="7">
        <v>1000</v>
      </c>
    </row>
    <row r="8" spans="1:2" x14ac:dyDescent="0.25">
      <c r="A8" s="3"/>
    </row>
    <row r="9" spans="1:2" x14ac:dyDescent="0.25">
      <c r="A9" s="3" t="s">
        <v>331</v>
      </c>
      <c r="B9" s="7">
        <f>SUM(B4:B7)</f>
        <v>50000</v>
      </c>
    </row>
    <row r="10" spans="1:2" x14ac:dyDescent="0.25">
      <c r="A10" s="3"/>
    </row>
    <row r="11" spans="1:2" x14ac:dyDescent="0.25">
      <c r="A11" s="3" t="s">
        <v>1</v>
      </c>
      <c r="B11" s="7">
        <f>B1-B9</f>
        <v>50000</v>
      </c>
    </row>
  </sheetData>
  <scenarios current="0" show="0" sqref="D1">
    <scenario name="Original" locked="1" count="5" user="Jubril yusuf Danjuma" comment="Created by Jubril yusuf Danjuma on 8/23/2023">
      <inputCells r="B1" val="100000" numFmtId="166"/>
      <inputCells r="B4" val="5000" numFmtId="166"/>
      <inputCells r="B5" val="40000" numFmtId="166"/>
      <inputCells r="B6" val="4000" numFmtId="166"/>
      <inputCells r="B7" val="1000" numFmtId="166"/>
    </scenario>
    <scenario name="High sales" locked="1" count="5" user="Jubril yusuf Danjuma" comment="Created by Jubril yusuf Danjuma on 8/23/2023">
      <inputCells r="B1" val="150000" numFmtId="166"/>
      <inputCells r="B4" val="15000" numFmtId="166"/>
      <inputCells r="B5" val="60000" numFmtId="166"/>
      <inputCells r="B6" val="4000" numFmtId="166"/>
      <inputCells r="B7" val="1500" numFmtId="166"/>
    </scenario>
    <scenario name="low sales" locked="1" count="5" user="Jubril yusuf Danjuma" comment="Created by Jubril yusuf Danjuma on 8/23/2023">
      <inputCells r="B1" val="75000" numFmtId="166"/>
      <inputCells r="B4" val="1000" numFmtId="166"/>
      <inputCells r="B5" val="25000" numFmtId="166"/>
      <inputCells r="B6" val="4000" numFmtId="166"/>
      <inputCells r="B7" val="500" numFmtId="166"/>
    </scenario>
  </scenarios>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1"/>
  <sheetViews>
    <sheetView workbookViewId="0">
      <selection activeCell="F11" sqref="F11"/>
    </sheetView>
  </sheetViews>
  <sheetFormatPr defaultRowHeight="15" x14ac:dyDescent="0.25"/>
  <cols>
    <col min="1" max="1" width="13.85546875" bestFit="1" customWidth="1"/>
    <col min="2" max="2" width="11.5703125" bestFit="1" customWidth="1"/>
    <col min="4" max="4" width="10.140625" style="9" bestFit="1" customWidth="1"/>
    <col min="6" max="6" width="11.28515625" customWidth="1"/>
    <col min="9" max="9" width="12.7109375" bestFit="1" customWidth="1"/>
  </cols>
  <sheetData>
    <row r="1" spans="1:9" x14ac:dyDescent="0.25">
      <c r="A1" s="139" t="s">
        <v>315</v>
      </c>
      <c r="B1" s="139"/>
      <c r="D1" s="115" t="s">
        <v>320</v>
      </c>
      <c r="E1" s="114" t="s">
        <v>321</v>
      </c>
      <c r="F1" s="114" t="s">
        <v>322</v>
      </c>
      <c r="H1" t="s">
        <v>323</v>
      </c>
      <c r="I1" s="9">
        <v>500000</v>
      </c>
    </row>
    <row r="2" spans="1:9" x14ac:dyDescent="0.25">
      <c r="A2" t="s">
        <v>316</v>
      </c>
      <c r="B2" s="99">
        <v>3.5000000000000003E-2</v>
      </c>
      <c r="D2" s="9">
        <v>29260</v>
      </c>
      <c r="E2" s="9">
        <f>D2*$I$2</f>
        <v>3026.1840290421123</v>
      </c>
      <c r="F2" s="9">
        <f>SUM(D2,E2)</f>
        <v>32286.184029042113</v>
      </c>
      <c r="H2" t="s">
        <v>324</v>
      </c>
      <c r="I2" s="4">
        <v>0.10342392443752947</v>
      </c>
    </row>
    <row r="3" spans="1:9" x14ac:dyDescent="0.25">
      <c r="A3" t="s">
        <v>317</v>
      </c>
      <c r="B3" s="14">
        <v>60</v>
      </c>
      <c r="D3" s="9">
        <v>39000</v>
      </c>
      <c r="E3" s="9">
        <f t="shared" ref="E3:E10" si="0">D3*$I$2</f>
        <v>4033.5330530636493</v>
      </c>
      <c r="F3" s="9">
        <f t="shared" ref="F3:F10" si="1">SUM(D3,E3)</f>
        <v>43033.533053063649</v>
      </c>
    </row>
    <row r="4" spans="1:9" x14ac:dyDescent="0.25">
      <c r="A4" t="s">
        <v>318</v>
      </c>
      <c r="B4" s="1">
        <v>24000</v>
      </c>
      <c r="D4" s="9">
        <v>49260</v>
      </c>
      <c r="E4" s="9">
        <f t="shared" si="0"/>
        <v>5094.6625177927017</v>
      </c>
      <c r="F4" s="9">
        <f t="shared" si="1"/>
        <v>54354.662517792705</v>
      </c>
    </row>
    <row r="5" spans="1:9" x14ac:dyDescent="0.25">
      <c r="A5" t="s">
        <v>319</v>
      </c>
      <c r="B5" s="113">
        <f>PMT(B2/12,B3,B4)</f>
        <v>-436.60187928615358</v>
      </c>
      <c r="D5" s="9">
        <v>24840</v>
      </c>
      <c r="E5" s="9">
        <f t="shared" si="0"/>
        <v>2569.0502830282321</v>
      </c>
      <c r="F5" s="9">
        <f t="shared" si="1"/>
        <v>27409.050283028231</v>
      </c>
    </row>
    <row r="6" spans="1:9" x14ac:dyDescent="0.25">
      <c r="D6" s="9">
        <v>39000</v>
      </c>
      <c r="E6" s="9">
        <f t="shared" si="0"/>
        <v>4033.5330530636493</v>
      </c>
      <c r="F6" s="9">
        <f t="shared" si="1"/>
        <v>43033.533053063649</v>
      </c>
    </row>
    <row r="7" spans="1:9" x14ac:dyDescent="0.25">
      <c r="D7" s="9">
        <v>74500</v>
      </c>
      <c r="E7" s="9">
        <f t="shared" si="0"/>
        <v>7705.0823705959456</v>
      </c>
      <c r="F7" s="9">
        <f t="shared" si="1"/>
        <v>82205.082370595948</v>
      </c>
    </row>
    <row r="8" spans="1:9" x14ac:dyDescent="0.25">
      <c r="D8" s="9">
        <v>79730</v>
      </c>
      <c r="E8" s="9">
        <f t="shared" si="0"/>
        <v>8245.9894954042247</v>
      </c>
      <c r="F8" s="9">
        <f t="shared" si="1"/>
        <v>87975.989495404225</v>
      </c>
    </row>
    <row r="9" spans="1:9" x14ac:dyDescent="0.25">
      <c r="D9" s="9">
        <v>82500</v>
      </c>
      <c r="E9" s="9">
        <f t="shared" si="0"/>
        <v>8532.4737660961819</v>
      </c>
      <c r="F9" s="9">
        <f t="shared" si="1"/>
        <v>91032.473766096184</v>
      </c>
    </row>
    <row r="10" spans="1:9" x14ac:dyDescent="0.25">
      <c r="D10" s="9">
        <v>35045</v>
      </c>
      <c r="E10" s="9">
        <f t="shared" si="0"/>
        <v>3624.4914319132204</v>
      </c>
      <c r="F10" s="9">
        <f t="shared" si="1"/>
        <v>38669.491431913222</v>
      </c>
    </row>
    <row r="11" spans="1:9" x14ac:dyDescent="0.25">
      <c r="D11" s="9">
        <f>SUM(D2:D10)</f>
        <v>453135</v>
      </c>
      <c r="F11" s="9">
        <f>SUM(F2:F10)</f>
        <v>499999.99999999994</v>
      </c>
    </row>
  </sheetData>
  <mergeCells count="1">
    <mergeCell ref="A1:B1"/>
  </mergeCells>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4"/>
  <sheetViews>
    <sheetView workbookViewId="0">
      <selection activeCell="G15" sqref="G15"/>
    </sheetView>
  </sheetViews>
  <sheetFormatPr defaultRowHeight="15" x14ac:dyDescent="0.25"/>
  <cols>
    <col min="4" max="4" width="16.85546875" bestFit="1" customWidth="1"/>
    <col min="7" max="7" width="14.85546875" bestFit="1" customWidth="1"/>
  </cols>
  <sheetData>
    <row r="1" spans="1:7" x14ac:dyDescent="0.25">
      <c r="A1" t="s">
        <v>288</v>
      </c>
      <c r="B1" t="s">
        <v>289</v>
      </c>
      <c r="C1" t="s">
        <v>291</v>
      </c>
      <c r="D1" t="s">
        <v>290</v>
      </c>
    </row>
    <row r="2" spans="1:7" x14ac:dyDescent="0.25">
      <c r="A2" t="s">
        <v>245</v>
      </c>
      <c r="B2" t="s">
        <v>292</v>
      </c>
      <c r="C2">
        <v>1.6838</v>
      </c>
      <c r="D2">
        <v>0</v>
      </c>
    </row>
    <row r="3" spans="1:7" x14ac:dyDescent="0.25">
      <c r="A3" t="s">
        <v>245</v>
      </c>
      <c r="B3" t="s">
        <v>293</v>
      </c>
      <c r="C3">
        <v>1.6769700000000001</v>
      </c>
      <c r="D3">
        <v>0.33467000000000002</v>
      </c>
    </row>
    <row r="4" spans="1:7" x14ac:dyDescent="0.25">
      <c r="A4" t="s">
        <v>245</v>
      </c>
      <c r="B4" t="s">
        <v>294</v>
      </c>
      <c r="C4">
        <v>1.7983080300000001</v>
      </c>
      <c r="D4">
        <v>0.32455000000000001</v>
      </c>
    </row>
    <row r="5" spans="1:7" x14ac:dyDescent="0.25">
      <c r="A5" t="s">
        <v>245</v>
      </c>
      <c r="B5" t="s">
        <v>295</v>
      </c>
      <c r="C5">
        <v>1.3795999999999999</v>
      </c>
      <c r="D5">
        <v>0.63683999999999996</v>
      </c>
    </row>
    <row r="6" spans="1:7" x14ac:dyDescent="0.25">
      <c r="A6" t="s">
        <v>245</v>
      </c>
      <c r="B6" t="s">
        <v>296</v>
      </c>
      <c r="C6">
        <v>2.8679000000000001</v>
      </c>
      <c r="D6">
        <v>0.56325000000000003</v>
      </c>
    </row>
    <row r="7" spans="1:7" x14ac:dyDescent="0.25">
      <c r="A7" t="s">
        <v>245</v>
      </c>
      <c r="B7" t="s">
        <v>297</v>
      </c>
      <c r="C7">
        <v>1.3686700000000001</v>
      </c>
      <c r="D7">
        <v>0.43642999999999998</v>
      </c>
      <c r="G7" s="110">
        <f ca="1">TODAY()</f>
        <v>45274</v>
      </c>
    </row>
    <row r="8" spans="1:7" x14ac:dyDescent="0.25">
      <c r="A8" t="s">
        <v>245</v>
      </c>
      <c r="B8" t="s">
        <v>298</v>
      </c>
      <c r="C8">
        <v>1.3476977999999999</v>
      </c>
      <c r="D8">
        <v>0.78556999999999999</v>
      </c>
      <c r="G8" s="112">
        <f ca="1">NOW()</f>
        <v>45274.717025694445</v>
      </c>
    </row>
    <row r="9" spans="1:7" x14ac:dyDescent="0.25">
      <c r="A9" t="s">
        <v>245</v>
      </c>
      <c r="B9" t="s">
        <v>299</v>
      </c>
      <c r="C9">
        <v>1.46588304</v>
      </c>
      <c r="D9">
        <v>0</v>
      </c>
      <c r="G9">
        <f ca="1">YEAR(G8)</f>
        <v>2023</v>
      </c>
    </row>
    <row r="10" spans="1:7" x14ac:dyDescent="0.25">
      <c r="A10" t="s">
        <v>245</v>
      </c>
      <c r="B10" t="s">
        <v>300</v>
      </c>
      <c r="C10">
        <v>1.3468789999999999</v>
      </c>
      <c r="D10">
        <v>0.89700000000000002</v>
      </c>
      <c r="G10">
        <f ca="1">MONTH(G8)</f>
        <v>12</v>
      </c>
    </row>
    <row r="11" spans="1:7" x14ac:dyDescent="0.25">
      <c r="A11" t="s">
        <v>245</v>
      </c>
      <c r="B11" t="s">
        <v>301</v>
      </c>
      <c r="C11">
        <v>1.6789000000000001</v>
      </c>
      <c r="D11">
        <v>0.37975999999999999</v>
      </c>
      <c r="G11">
        <f ca="1">DAY(G8)</f>
        <v>14</v>
      </c>
    </row>
    <row r="12" spans="1:7" x14ac:dyDescent="0.25">
      <c r="A12" t="s">
        <v>245</v>
      </c>
      <c r="B12" t="s">
        <v>302</v>
      </c>
      <c r="C12">
        <v>1.09876</v>
      </c>
      <c r="D12">
        <v>0.77307999999999999</v>
      </c>
      <c r="G12">
        <f ca="1">HOUR(G8)</f>
        <v>17</v>
      </c>
    </row>
    <row r="13" spans="1:7" x14ac:dyDescent="0.25">
      <c r="A13" t="s">
        <v>245</v>
      </c>
      <c r="B13" t="s">
        <v>303</v>
      </c>
      <c r="C13">
        <v>2.6787980899999999</v>
      </c>
      <c r="D13">
        <v>0</v>
      </c>
      <c r="G13">
        <f ca="1">MINUTE(G8)</f>
        <v>12</v>
      </c>
    </row>
    <row r="14" spans="1:7" x14ac:dyDescent="0.25">
      <c r="A14" t="s">
        <v>245</v>
      </c>
      <c r="B14" t="s">
        <v>304</v>
      </c>
      <c r="C14">
        <v>2.6766999999999999</v>
      </c>
      <c r="D14">
        <v>0.79868600000000001</v>
      </c>
      <c r="G14">
        <f ca="1">WEEKDAY(G8)</f>
        <v>5</v>
      </c>
    </row>
    <row r="15" spans="1:7" x14ac:dyDescent="0.25">
      <c r="A15" t="s">
        <v>245</v>
      </c>
      <c r="B15" t="s">
        <v>305</v>
      </c>
      <c r="C15">
        <v>2.87798</v>
      </c>
      <c r="D15">
        <v>0.37386900000000001</v>
      </c>
      <c r="G15" s="110">
        <f ca="1">WORKDAY(G8,30)</f>
        <v>45316</v>
      </c>
    </row>
    <row r="16" spans="1:7" x14ac:dyDescent="0.25">
      <c r="A16" t="s">
        <v>245</v>
      </c>
      <c r="B16" t="s">
        <v>306</v>
      </c>
      <c r="C16">
        <v>2.8739080000000001</v>
      </c>
      <c r="D16">
        <v>0.83796800000000005</v>
      </c>
    </row>
    <row r="17" spans="1:4" x14ac:dyDescent="0.25">
      <c r="A17" t="s">
        <v>245</v>
      </c>
      <c r="B17" t="s">
        <v>307</v>
      </c>
      <c r="C17">
        <v>2.7676729999999998</v>
      </c>
      <c r="D17">
        <v>0.67359999999999998</v>
      </c>
    </row>
    <row r="18" spans="1:4" x14ac:dyDescent="0.25">
      <c r="A18" t="s">
        <v>245</v>
      </c>
      <c r="B18" t="s">
        <v>308</v>
      </c>
      <c r="C18">
        <v>1.3476684999999999</v>
      </c>
      <c r="D18">
        <v>0.863676</v>
      </c>
    </row>
    <row r="19" spans="1:4" x14ac:dyDescent="0.25">
      <c r="A19" t="s">
        <v>245</v>
      </c>
      <c r="B19" t="s">
        <v>309</v>
      </c>
      <c r="C19">
        <v>2.678973</v>
      </c>
      <c r="D19">
        <v>0.37969999999999998</v>
      </c>
    </row>
    <row r="20" spans="1:4" x14ac:dyDescent="0.25">
      <c r="A20" t="s">
        <v>245</v>
      </c>
      <c r="B20" t="s">
        <v>310</v>
      </c>
      <c r="C20">
        <v>1.8637999999999999</v>
      </c>
      <c r="D20">
        <v>0.86368679000000004</v>
      </c>
    </row>
    <row r="21" spans="1:4" x14ac:dyDescent="0.25">
      <c r="A21" t="s">
        <v>245</v>
      </c>
      <c r="B21" t="s">
        <v>311</v>
      </c>
      <c r="C21">
        <v>2.2146837939999999</v>
      </c>
      <c r="D21">
        <v>0.37890000000000001</v>
      </c>
    </row>
    <row r="22" spans="1:4" x14ac:dyDescent="0.25">
      <c r="A22" t="s">
        <v>245</v>
      </c>
      <c r="B22" t="s">
        <v>312</v>
      </c>
      <c r="C22">
        <v>2.4867900000000001</v>
      </c>
      <c r="D22">
        <v>0.38679000000000002</v>
      </c>
    </row>
    <row r="23" spans="1:4" x14ac:dyDescent="0.25">
      <c r="A23" t="s">
        <v>245</v>
      </c>
      <c r="B23" t="s">
        <v>313</v>
      </c>
      <c r="C23">
        <v>2.8346</v>
      </c>
      <c r="D23">
        <v>0.78800000000000003</v>
      </c>
    </row>
    <row r="24" spans="1:4" x14ac:dyDescent="0.25">
      <c r="A24" t="s">
        <v>245</v>
      </c>
      <c r="B24" t="s">
        <v>314</v>
      </c>
      <c r="C24">
        <v>1.43869</v>
      </c>
      <c r="D24">
        <v>0.38689000000000001</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1"/>
  <sheetViews>
    <sheetView workbookViewId="0"/>
  </sheetViews>
  <sheetFormatPr defaultRowHeight="15" x14ac:dyDescent="0.25"/>
  <cols>
    <col min="1" max="1" width="9.7109375" bestFit="1" customWidth="1"/>
    <col min="2" max="2" width="10" bestFit="1" customWidth="1"/>
    <col min="3" max="3" width="17.42578125" customWidth="1"/>
    <col min="4" max="4" width="32.140625" customWidth="1"/>
    <col min="5" max="5" width="32.28515625" customWidth="1"/>
    <col min="7" max="7" width="10.140625" customWidth="1"/>
    <col min="8" max="8" width="8.28515625" customWidth="1"/>
  </cols>
  <sheetData>
    <row r="1" spans="1:8" x14ac:dyDescent="0.25">
      <c r="A1" t="s">
        <v>222</v>
      </c>
      <c r="B1" t="s">
        <v>275</v>
      </c>
      <c r="C1" t="s">
        <v>276</v>
      </c>
      <c r="D1" t="s">
        <v>286</v>
      </c>
      <c r="E1" t="s">
        <v>287</v>
      </c>
      <c r="G1" t="s">
        <v>277</v>
      </c>
      <c r="H1" t="s">
        <v>278</v>
      </c>
    </row>
    <row r="2" spans="1:8" x14ac:dyDescent="0.25">
      <c r="A2" s="110">
        <v>44197</v>
      </c>
      <c r="B2" s="111">
        <v>75972</v>
      </c>
      <c r="G2" t="s">
        <v>279</v>
      </c>
      <c r="H2" s="109">
        <f>_xlfn.FORECAST.ETS.STAT($B$2:$B$17,$A$2:$A$17,1,1,1)</f>
        <v>0.126</v>
      </c>
    </row>
    <row r="3" spans="1:8" x14ac:dyDescent="0.25">
      <c r="A3" s="110">
        <v>44228</v>
      </c>
      <c r="B3" s="111">
        <v>129610.5</v>
      </c>
      <c r="G3" t="s">
        <v>280</v>
      </c>
      <c r="H3" s="109">
        <f>_xlfn.FORECAST.ETS.STAT($B$2:$B$17,$A$2:$A$17,2,1,1)</f>
        <v>1E-3</v>
      </c>
    </row>
    <row r="4" spans="1:8" x14ac:dyDescent="0.25">
      <c r="A4" s="110">
        <v>44256</v>
      </c>
      <c r="B4" s="111">
        <v>183249</v>
      </c>
      <c r="G4" t="s">
        <v>281</v>
      </c>
      <c r="H4" s="109">
        <f>_xlfn.FORECAST.ETS.STAT($B$2:$B$17,$A$2:$A$17,3,1,1)</f>
        <v>2.2204460492503131E-16</v>
      </c>
    </row>
    <row r="5" spans="1:8" x14ac:dyDescent="0.25">
      <c r="A5" s="110">
        <v>44287</v>
      </c>
      <c r="B5" s="111">
        <v>70992</v>
      </c>
      <c r="G5" t="s">
        <v>282</v>
      </c>
      <c r="H5" s="109">
        <f>_xlfn.FORECAST.ETS.STAT($B$2:$B$17,$A$2:$A$17,4,1,1)</f>
        <v>0.75491667693631792</v>
      </c>
    </row>
    <row r="6" spans="1:8" x14ac:dyDescent="0.25">
      <c r="A6" s="110">
        <v>44317</v>
      </c>
      <c r="B6" s="111">
        <v>89736</v>
      </c>
      <c r="G6" t="s">
        <v>283</v>
      </c>
      <c r="H6" s="109">
        <f>_xlfn.FORECAST.ETS.STAT($B$2:$B$17,$A$2:$A$17,5,1,1)</f>
        <v>0.28788544864068139</v>
      </c>
    </row>
    <row r="7" spans="1:8" x14ac:dyDescent="0.25">
      <c r="A7" s="110">
        <v>44348</v>
      </c>
      <c r="B7" s="111">
        <v>190544</v>
      </c>
      <c r="G7" t="s">
        <v>284</v>
      </c>
      <c r="H7" s="109">
        <f>_xlfn.FORECAST.ETS.STAT($B$2:$B$17,$A$2:$A$17,6,1,1)</f>
        <v>50029.418615769806</v>
      </c>
    </row>
    <row r="8" spans="1:8" x14ac:dyDescent="0.25">
      <c r="A8" s="110">
        <v>44378</v>
      </c>
      <c r="B8" s="111">
        <v>145539</v>
      </c>
      <c r="G8" t="s">
        <v>285</v>
      </c>
      <c r="H8" s="109">
        <f>_xlfn.FORECAST.ETS.STAT($B$2:$B$17,$A$2:$A$17,7,1,1)</f>
        <v>61072.258662475018</v>
      </c>
    </row>
    <row r="9" spans="1:8" x14ac:dyDescent="0.25">
      <c r="A9" s="110">
        <v>44409</v>
      </c>
      <c r="B9" s="111">
        <v>236745</v>
      </c>
    </row>
    <row r="10" spans="1:8" x14ac:dyDescent="0.25">
      <c r="A10" s="110">
        <v>44440</v>
      </c>
      <c r="B10" s="111">
        <v>125299</v>
      </c>
    </row>
    <row r="11" spans="1:8" x14ac:dyDescent="0.25">
      <c r="A11" s="110">
        <v>44470</v>
      </c>
      <c r="B11" s="111">
        <v>134999</v>
      </c>
    </row>
    <row r="12" spans="1:8" x14ac:dyDescent="0.25">
      <c r="A12" s="110">
        <v>44501</v>
      </c>
      <c r="B12" s="111">
        <v>134991</v>
      </c>
    </row>
    <row r="13" spans="1:8" x14ac:dyDescent="0.25">
      <c r="A13" s="110">
        <v>44531</v>
      </c>
      <c r="B13" s="111">
        <v>198184</v>
      </c>
    </row>
    <row r="14" spans="1:8" x14ac:dyDescent="0.25">
      <c r="A14" s="110">
        <v>44562</v>
      </c>
      <c r="B14" s="111">
        <v>187104</v>
      </c>
    </row>
    <row r="15" spans="1:8" x14ac:dyDescent="0.25">
      <c r="A15" s="110">
        <v>44593</v>
      </c>
      <c r="B15" s="111">
        <v>94800</v>
      </c>
    </row>
    <row r="16" spans="1:8" x14ac:dyDescent="0.25">
      <c r="A16" s="110">
        <v>44621</v>
      </c>
      <c r="B16" s="111">
        <v>145535</v>
      </c>
    </row>
    <row r="17" spans="1:5" x14ac:dyDescent="0.25">
      <c r="A17" s="110">
        <v>44652</v>
      </c>
      <c r="B17" s="111">
        <v>287104</v>
      </c>
      <c r="C17" s="111">
        <v>287104</v>
      </c>
      <c r="D17" s="111">
        <v>287104</v>
      </c>
      <c r="E17" s="111">
        <v>287104</v>
      </c>
    </row>
    <row r="18" spans="1:5" x14ac:dyDescent="0.25">
      <c r="A18" s="110">
        <v>44682</v>
      </c>
      <c r="C18" s="111">
        <f>_xlfn.FORECAST.ETS(A18,$B$2:$B$17,$A$2:$A$17,1,1)</f>
        <v>197156.14349020401</v>
      </c>
      <c r="D18" s="111">
        <f>C18-_xlfn.FORECAST.ETS.CONFINT(A18,$B$2:$B$17,$A$2:$A$17,0.95,1,1)</f>
        <v>85132.335299289538</v>
      </c>
      <c r="E18" s="111">
        <f>C18+_xlfn.FORECAST.ETS.CONFINT(A18,$B$2:$B$17,$A$2:$A$17,0.95,1,1)</f>
        <v>309179.95168111846</v>
      </c>
    </row>
    <row r="19" spans="1:5" x14ac:dyDescent="0.25">
      <c r="A19" s="110">
        <v>44713</v>
      </c>
      <c r="C19" s="111">
        <f>_xlfn.FORECAST.ETS(A19,$B$2:$B$17,$A$2:$A$17,1,1)</f>
        <v>202955.924960392</v>
      </c>
      <c r="D19" s="111">
        <f>C19-_xlfn.FORECAST.ETS.CONFINT(A19,$B$2:$B$17,$A$2:$A$17,0.95,1,1)</f>
        <v>90032.314482977134</v>
      </c>
      <c r="E19" s="111">
        <f>C19+_xlfn.FORECAST.ETS.CONFINT(A19,$B$2:$B$17,$A$2:$A$17,0.95,1,1)</f>
        <v>315879.53543780686</v>
      </c>
    </row>
    <row r="20" spans="1:5" x14ac:dyDescent="0.25">
      <c r="A20" s="110">
        <v>44743</v>
      </c>
      <c r="C20" s="111">
        <f>_xlfn.FORECAST.ETS(A20,$B$2:$B$17,$A$2:$A$17,1,1)</f>
        <v>208755.70643057991</v>
      </c>
      <c r="D20" s="111">
        <f>C20-_xlfn.FORECAST.ETS.CONFINT(A20,$B$2:$B$17,$A$2:$A$17,0.95,1,1)</f>
        <v>94925.349824868405</v>
      </c>
      <c r="E20" s="111">
        <f>C20+_xlfn.FORECAST.ETS.CONFINT(A20,$B$2:$B$17,$A$2:$A$17,0.95,1,1)</f>
        <v>322586.06303629139</v>
      </c>
    </row>
    <row r="21" spans="1:5" x14ac:dyDescent="0.25">
      <c r="A21" s="110">
        <v>44774</v>
      </c>
      <c r="C21" s="111">
        <f>_xlfn.FORECAST.ETS(A21,$B$2:$B$17,$A$2:$A$17,1,1)</f>
        <v>214555.48790076791</v>
      </c>
      <c r="D21" s="111">
        <f>C21-_xlfn.FORECAST.ETS.CONFINT(A21,$B$2:$B$17,$A$2:$A$17,0.95,1,1)</f>
        <v>99811.496574652774</v>
      </c>
      <c r="E21" s="111">
        <f>C21+_xlfn.FORECAST.ETS.CONFINT(A21,$B$2:$B$17,$A$2:$A$17,0.95,1,1)</f>
        <v>329299.47922688304</v>
      </c>
    </row>
  </sheetData>
  <pageMargins left="0.7" right="0.7" top="0.75" bottom="0.75" header="0.3" footer="0.3"/>
  <drawing r:id="rId1"/>
  <tableParts count="2">
    <tablePart r:id="rId2"/>
    <tablePart r:id="rId3"/>
  </tableParts>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7"/>
  <sheetViews>
    <sheetView workbookViewId="0">
      <selection activeCell="A17" sqref="A1:B17"/>
    </sheetView>
  </sheetViews>
  <sheetFormatPr defaultRowHeight="15" x14ac:dyDescent="0.25"/>
  <cols>
    <col min="1" max="1" width="9.7109375" style="35" bestFit="1" customWidth="1"/>
    <col min="2" max="2" width="12.5703125" style="18" bestFit="1" customWidth="1"/>
  </cols>
  <sheetData>
    <row r="1" spans="1:2" x14ac:dyDescent="0.25">
      <c r="A1" s="35" t="s">
        <v>222</v>
      </c>
      <c r="B1" s="18" t="s">
        <v>78</v>
      </c>
    </row>
    <row r="2" spans="1:2" x14ac:dyDescent="0.25">
      <c r="A2" s="35">
        <v>44197</v>
      </c>
      <c r="B2" s="18">
        <v>75972</v>
      </c>
    </row>
    <row r="3" spans="1:2" x14ac:dyDescent="0.25">
      <c r="A3" s="35">
        <v>44228</v>
      </c>
    </row>
    <row r="4" spans="1:2" x14ac:dyDescent="0.25">
      <c r="A4" s="35">
        <v>44256</v>
      </c>
      <c r="B4" s="18">
        <v>183249</v>
      </c>
    </row>
    <row r="5" spans="1:2" x14ac:dyDescent="0.25">
      <c r="A5" s="35">
        <v>44287</v>
      </c>
      <c r="B5" s="18">
        <v>70992</v>
      </c>
    </row>
    <row r="6" spans="1:2" x14ac:dyDescent="0.25">
      <c r="A6" s="35">
        <v>44317</v>
      </c>
      <c r="B6" s="18">
        <v>89736</v>
      </c>
    </row>
    <row r="7" spans="1:2" x14ac:dyDescent="0.25">
      <c r="A7" s="35">
        <v>44348</v>
      </c>
      <c r="B7" s="18">
        <v>190544</v>
      </c>
    </row>
    <row r="8" spans="1:2" x14ac:dyDescent="0.25">
      <c r="A8" s="35">
        <v>44378</v>
      </c>
      <c r="B8" s="18">
        <v>145539</v>
      </c>
    </row>
    <row r="9" spans="1:2" x14ac:dyDescent="0.25">
      <c r="A9" s="35">
        <v>44409</v>
      </c>
      <c r="B9" s="18">
        <v>236745</v>
      </c>
    </row>
    <row r="10" spans="1:2" x14ac:dyDescent="0.25">
      <c r="A10" s="35">
        <v>44440</v>
      </c>
      <c r="B10" s="18">
        <v>125299</v>
      </c>
    </row>
    <row r="11" spans="1:2" x14ac:dyDescent="0.25">
      <c r="A11" s="35">
        <v>44470</v>
      </c>
      <c r="B11" s="18">
        <v>134999</v>
      </c>
    </row>
    <row r="12" spans="1:2" x14ac:dyDescent="0.25">
      <c r="A12" s="35">
        <v>44501</v>
      </c>
      <c r="B12" s="18">
        <v>134991</v>
      </c>
    </row>
    <row r="13" spans="1:2" x14ac:dyDescent="0.25">
      <c r="A13" s="35">
        <v>44531</v>
      </c>
      <c r="B13" s="18">
        <v>198184</v>
      </c>
    </row>
    <row r="14" spans="1:2" x14ac:dyDescent="0.25">
      <c r="A14" s="35">
        <v>44562</v>
      </c>
      <c r="B14" s="18">
        <v>187104</v>
      </c>
    </row>
    <row r="15" spans="1:2" x14ac:dyDescent="0.25">
      <c r="A15" s="35">
        <v>44593</v>
      </c>
      <c r="B15" s="18">
        <v>94800</v>
      </c>
    </row>
    <row r="16" spans="1:2" x14ac:dyDescent="0.25">
      <c r="A16" s="35">
        <v>44621</v>
      </c>
      <c r="B16" s="18">
        <v>145535</v>
      </c>
    </row>
    <row r="17" spans="1:2" x14ac:dyDescent="0.25">
      <c r="A17" s="35">
        <v>44652</v>
      </c>
      <c r="B17" s="18">
        <v>287104</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7"/>
  <dimension ref="A1:R21"/>
  <sheetViews>
    <sheetView topLeftCell="A2" workbookViewId="0">
      <selection activeCell="C2" sqref="C2"/>
    </sheetView>
  </sheetViews>
  <sheetFormatPr defaultRowHeight="15" x14ac:dyDescent="0.25"/>
  <cols>
    <col min="1" max="1" width="12.28515625" style="14" customWidth="1"/>
    <col min="2" max="2" width="10" style="13" customWidth="1"/>
    <col min="3" max="3" width="14.7109375" style="13" customWidth="1"/>
    <col min="4" max="4" width="9.140625" style="13" customWidth="1"/>
    <col min="5" max="5" width="10.140625" style="13" customWidth="1"/>
    <col min="6" max="6" width="15" style="65" customWidth="1"/>
    <col min="7" max="7" width="9.140625" style="65"/>
    <col min="8" max="8" width="15.7109375" style="65" customWidth="1"/>
    <col min="9" max="9" width="15.7109375" style="84" customWidth="1"/>
    <col min="11" max="11" width="14.140625" bestFit="1" customWidth="1"/>
    <col min="12" max="12" width="18" bestFit="1" customWidth="1"/>
    <col min="13" max="13" width="14.140625" bestFit="1" customWidth="1"/>
  </cols>
  <sheetData>
    <row r="1" spans="1:18" x14ac:dyDescent="0.25">
      <c r="A1" s="93" t="s">
        <v>100</v>
      </c>
      <c r="B1" s="94" t="s">
        <v>101</v>
      </c>
      <c r="C1" s="94" t="s">
        <v>102</v>
      </c>
      <c r="D1" s="94" t="s">
        <v>76</v>
      </c>
      <c r="E1" s="94" t="s">
        <v>116</v>
      </c>
      <c r="F1" s="95" t="s">
        <v>103</v>
      </c>
      <c r="G1" s="95" t="s">
        <v>104</v>
      </c>
      <c r="H1" s="95" t="s">
        <v>105</v>
      </c>
      <c r="I1" s="96" t="s">
        <v>222</v>
      </c>
    </row>
    <row r="2" spans="1:18" x14ac:dyDescent="0.25">
      <c r="A2" s="89">
        <v>103</v>
      </c>
      <c r="B2" s="85" t="s">
        <v>108</v>
      </c>
      <c r="C2" s="85" t="str">
        <f>VLOOKUP(B2,Sheet9!$A$2:$B$17,2,0)</f>
        <v>coffee</v>
      </c>
      <c r="D2" s="85" t="s">
        <v>110</v>
      </c>
      <c r="E2" s="85" t="s">
        <v>117</v>
      </c>
      <c r="F2" s="86">
        <v>110</v>
      </c>
      <c r="G2" s="86">
        <v>101</v>
      </c>
      <c r="H2" s="86">
        <v>234</v>
      </c>
      <c r="I2" s="91">
        <v>44203</v>
      </c>
    </row>
    <row r="3" spans="1:18" x14ac:dyDescent="0.25">
      <c r="A3" s="90">
        <v>109</v>
      </c>
      <c r="B3" s="87" t="s">
        <v>108</v>
      </c>
      <c r="C3" s="87" t="str">
        <f>VLOOKUP(B3,Sheet9!$A$2:$B$17,2,0)</f>
        <v>coffee</v>
      </c>
      <c r="D3" s="87" t="s">
        <v>110</v>
      </c>
      <c r="E3" s="87" t="s">
        <v>117</v>
      </c>
      <c r="F3" s="88">
        <v>80</v>
      </c>
      <c r="G3" s="88">
        <v>53</v>
      </c>
      <c r="H3" s="88">
        <v>180</v>
      </c>
      <c r="I3" s="92">
        <v>44230</v>
      </c>
      <c r="O3" t="s">
        <v>152</v>
      </c>
      <c r="P3" t="s">
        <v>153</v>
      </c>
      <c r="Q3" t="s">
        <v>154</v>
      </c>
      <c r="R3" t="s">
        <v>155</v>
      </c>
    </row>
    <row r="4" spans="1:18" x14ac:dyDescent="0.25">
      <c r="A4" s="89">
        <v>110</v>
      </c>
      <c r="B4" s="85" t="s">
        <v>108</v>
      </c>
      <c r="C4" s="85" t="str">
        <f>VLOOKUP(B4,Sheet9!$A$2:$B$17,2,0)</f>
        <v>coffee</v>
      </c>
      <c r="D4" s="85" t="s">
        <v>111</v>
      </c>
      <c r="E4" s="85" t="s">
        <v>117</v>
      </c>
      <c r="F4" s="86">
        <v>180</v>
      </c>
      <c r="G4" s="86">
        <v>10</v>
      </c>
      <c r="H4" s="86">
        <v>456</v>
      </c>
      <c r="I4" s="91">
        <v>44624</v>
      </c>
      <c r="O4">
        <v>105</v>
      </c>
      <c r="P4" t="str">
        <f>VLOOKUP(O4,A:H,4,0)</f>
        <v>ohio</v>
      </c>
      <c r="Q4" t="str">
        <f>VLOOKUP(O4,A:H,5,0)</f>
        <v>central</v>
      </c>
      <c r="R4">
        <f>VLOOKUP(O4,A:H,8,0)</f>
        <v>150</v>
      </c>
    </row>
    <row r="5" spans="1:18" x14ac:dyDescent="0.25">
      <c r="A5" s="90">
        <v>118</v>
      </c>
      <c r="B5" s="87" t="s">
        <v>143</v>
      </c>
      <c r="C5" s="87" t="str">
        <f>VLOOKUP(B5,Sheet9!A:B,2,0)</f>
        <v>protein</v>
      </c>
      <c r="D5" s="87" t="s">
        <v>113</v>
      </c>
      <c r="E5" s="87" t="s">
        <v>118</v>
      </c>
      <c r="F5" s="88">
        <v>34</v>
      </c>
      <c r="G5" s="88">
        <v>45</v>
      </c>
      <c r="H5" s="88">
        <v>34</v>
      </c>
      <c r="I5" s="92">
        <v>44321</v>
      </c>
    </row>
    <row r="6" spans="1:18" x14ac:dyDescent="0.25">
      <c r="A6" s="89">
        <v>120</v>
      </c>
      <c r="B6" s="85" t="s">
        <v>145</v>
      </c>
      <c r="C6" s="85" t="str">
        <f>VLOOKUP(B6,Sheet9!A:B,2,0)</f>
        <v>starch</v>
      </c>
      <c r="D6" s="85" t="s">
        <v>115</v>
      </c>
      <c r="E6" s="85" t="s">
        <v>120</v>
      </c>
      <c r="F6" s="86">
        <v>67</v>
      </c>
      <c r="G6" s="86">
        <v>67</v>
      </c>
      <c r="H6" s="86">
        <v>34</v>
      </c>
      <c r="I6" s="91">
        <v>44203</v>
      </c>
    </row>
    <row r="7" spans="1:18" x14ac:dyDescent="0.25">
      <c r="A7" s="90">
        <v>115</v>
      </c>
      <c r="B7" s="87" t="s">
        <v>129</v>
      </c>
      <c r="C7" s="87" t="str">
        <f>VLOOKUP(B7,Sheet9!$A$2:$B$17,2,0)</f>
        <v>drink</v>
      </c>
      <c r="D7" s="87" t="s">
        <v>110</v>
      </c>
      <c r="E7" s="87" t="s">
        <v>117</v>
      </c>
      <c r="F7" s="88">
        <v>6</v>
      </c>
      <c r="G7" s="88">
        <v>12</v>
      </c>
      <c r="H7" s="88">
        <v>7</v>
      </c>
      <c r="I7" s="92">
        <v>44230</v>
      </c>
    </row>
    <row r="8" spans="1:18" x14ac:dyDescent="0.25">
      <c r="A8" s="89">
        <v>112</v>
      </c>
      <c r="B8" s="85" t="s">
        <v>109</v>
      </c>
      <c r="C8" s="85" t="str">
        <f>VLOOKUP(B8,Sheet9!$A$2:$B$17,2,0)</f>
        <v>coffee</v>
      </c>
      <c r="D8" s="85" t="s">
        <v>113</v>
      </c>
      <c r="E8" s="85" t="s">
        <v>118</v>
      </c>
      <c r="F8" s="86">
        <v>200</v>
      </c>
      <c r="G8" s="86">
        <v>50</v>
      </c>
      <c r="H8" s="86">
        <v>13</v>
      </c>
      <c r="I8" s="91">
        <v>44624</v>
      </c>
      <c r="Q8">
        <f>MATCH("Profit",A1:H1,0)</f>
        <v>7</v>
      </c>
    </row>
    <row r="9" spans="1:18" x14ac:dyDescent="0.25">
      <c r="A9" s="90">
        <v>113</v>
      </c>
      <c r="B9" s="87" t="s">
        <v>109</v>
      </c>
      <c r="C9" s="87" t="str">
        <f>VLOOKUP(B9,Sheet9!$A$2:$B$17,2,0)</f>
        <v>coffee</v>
      </c>
      <c r="D9" s="87" t="s">
        <v>114</v>
      </c>
      <c r="E9" s="87" t="s">
        <v>119</v>
      </c>
      <c r="F9" s="88">
        <v>130</v>
      </c>
      <c r="G9" s="88">
        <v>54</v>
      </c>
      <c r="H9" s="88">
        <v>546</v>
      </c>
      <c r="I9" s="92">
        <v>44321</v>
      </c>
    </row>
    <row r="10" spans="1:18" x14ac:dyDescent="0.25">
      <c r="A10" s="89">
        <v>114</v>
      </c>
      <c r="B10" s="85" t="s">
        <v>109</v>
      </c>
      <c r="C10" s="85" t="str">
        <f>VLOOKUP(B10,Sheet9!$A$2:$B$17,2,0)</f>
        <v>coffee</v>
      </c>
      <c r="D10" s="85" t="s">
        <v>115</v>
      </c>
      <c r="E10" s="85" t="s">
        <v>120</v>
      </c>
      <c r="F10" s="86">
        <v>68</v>
      </c>
      <c r="G10" s="86">
        <v>111</v>
      </c>
      <c r="H10" s="86">
        <v>210</v>
      </c>
      <c r="I10" s="91">
        <v>44203</v>
      </c>
      <c r="P10" t="s">
        <v>150</v>
      </c>
    </row>
    <row r="11" spans="1:18" x14ac:dyDescent="0.25">
      <c r="A11" s="90">
        <v>104</v>
      </c>
      <c r="B11" s="87" t="s">
        <v>106</v>
      </c>
      <c r="C11" s="87" t="str">
        <f>VLOOKUP(B11,Sheet9!$A$2:$B$17,2,0)</f>
        <v>coffee</v>
      </c>
      <c r="D11" s="87" t="s">
        <v>111</v>
      </c>
      <c r="E11" s="87" t="s">
        <v>117</v>
      </c>
      <c r="F11" s="88">
        <v>100</v>
      </c>
      <c r="G11" s="88">
        <v>87</v>
      </c>
      <c r="H11" s="88">
        <v>234</v>
      </c>
      <c r="I11" s="92">
        <v>44230</v>
      </c>
      <c r="P11">
        <f>MATCH(E1,B1:H1,0)</f>
        <v>4</v>
      </c>
    </row>
    <row r="12" spans="1:18" x14ac:dyDescent="0.25">
      <c r="A12" s="89">
        <v>105</v>
      </c>
      <c r="B12" s="85" t="s">
        <v>106</v>
      </c>
      <c r="C12" s="85" t="str">
        <f>VLOOKUP(B12,Sheet9!$A$2:$B$17,2,0)</f>
        <v>coffee</v>
      </c>
      <c r="D12" s="85" t="s">
        <v>112</v>
      </c>
      <c r="E12" s="85" t="s">
        <v>117</v>
      </c>
      <c r="F12" s="86">
        <v>20</v>
      </c>
      <c r="G12" s="86">
        <v>0</v>
      </c>
      <c r="H12" s="86">
        <v>150</v>
      </c>
      <c r="I12" s="91">
        <v>44624</v>
      </c>
    </row>
    <row r="13" spans="1:18" x14ac:dyDescent="0.25">
      <c r="A13" s="90">
        <v>106</v>
      </c>
      <c r="B13" s="87" t="s">
        <v>107</v>
      </c>
      <c r="C13" s="87" t="str">
        <f>VLOOKUP(B13,Sheet9!$A$2:$B$17,2,0)</f>
        <v>expresso</v>
      </c>
      <c r="D13" s="87" t="s">
        <v>113</v>
      </c>
      <c r="E13" s="87" t="s">
        <v>118</v>
      </c>
      <c r="F13" s="88">
        <v>70</v>
      </c>
      <c r="G13" s="88">
        <v>67</v>
      </c>
      <c r="H13" s="88">
        <v>200</v>
      </c>
      <c r="I13" s="92">
        <v>44321</v>
      </c>
      <c r="Q13" t="s">
        <v>178</v>
      </c>
    </row>
    <row r="14" spans="1:18" x14ac:dyDescent="0.25">
      <c r="A14" s="89">
        <v>107</v>
      </c>
      <c r="B14" s="85" t="s">
        <v>107</v>
      </c>
      <c r="C14" s="85" t="str">
        <f>VLOOKUP(B14,Sheet9!$A$2:$B$17,2,0)</f>
        <v>expresso</v>
      </c>
      <c r="D14" s="85" t="s">
        <v>114</v>
      </c>
      <c r="E14" s="85" t="s">
        <v>119</v>
      </c>
      <c r="F14" s="86">
        <v>100</v>
      </c>
      <c r="G14" s="86">
        <v>68</v>
      </c>
      <c r="H14" s="86">
        <v>190</v>
      </c>
      <c r="I14" s="91">
        <v>44203</v>
      </c>
    </row>
    <row r="15" spans="1:18" x14ac:dyDescent="0.25">
      <c r="A15" s="90">
        <v>108</v>
      </c>
      <c r="B15" s="87" t="s">
        <v>107</v>
      </c>
      <c r="C15" s="87" t="str">
        <f>VLOOKUP(B15,Sheet9!$A$2:$B$17,2,0)</f>
        <v>expresso</v>
      </c>
      <c r="D15" s="87" t="s">
        <v>115</v>
      </c>
      <c r="E15" s="87" t="s">
        <v>120</v>
      </c>
      <c r="F15" s="88">
        <v>120</v>
      </c>
      <c r="G15" s="88">
        <v>117</v>
      </c>
      <c r="H15" s="88">
        <v>118</v>
      </c>
      <c r="I15" s="92">
        <v>44230</v>
      </c>
      <c r="P15" t="s">
        <v>176</v>
      </c>
      <c r="Q15" t="s">
        <v>106</v>
      </c>
    </row>
    <row r="16" spans="1:18" x14ac:dyDescent="0.25">
      <c r="A16" s="89">
        <v>111</v>
      </c>
      <c r="B16" s="85" t="s">
        <v>107</v>
      </c>
      <c r="C16" s="85" t="str">
        <f>VLOOKUP(B16,Sheet9!$A$2:$B$17,2,0)</f>
        <v>expresso</v>
      </c>
      <c r="D16" s="85" t="s">
        <v>112</v>
      </c>
      <c r="E16" s="85" t="s">
        <v>117</v>
      </c>
      <c r="F16" s="86">
        <v>40</v>
      </c>
      <c r="G16" s="86">
        <v>16</v>
      </c>
      <c r="H16" s="86">
        <v>130</v>
      </c>
      <c r="I16" s="91">
        <v>44624</v>
      </c>
      <c r="P16" t="s">
        <v>177</v>
      </c>
      <c r="Q16" t="str">
        <f>INDEX(C2:C19,MATCH(Q15,B2:B19,0))</f>
        <v>coffee</v>
      </c>
    </row>
    <row r="17" spans="1:17" x14ac:dyDescent="0.25">
      <c r="A17" s="90">
        <v>116</v>
      </c>
      <c r="B17" s="87" t="s">
        <v>133</v>
      </c>
      <c r="C17" s="87" t="str">
        <f>VLOOKUP(B17,Sheet9!$A$2:$B$17,2,0)</f>
        <v>red</v>
      </c>
      <c r="D17" s="87" t="s">
        <v>111</v>
      </c>
      <c r="E17" s="87" t="s">
        <v>117</v>
      </c>
      <c r="F17" s="88">
        <v>5</v>
      </c>
      <c r="G17" s="88">
        <v>78</v>
      </c>
      <c r="H17" s="88">
        <v>8</v>
      </c>
      <c r="I17" s="92">
        <v>44321</v>
      </c>
      <c r="P17" t="s">
        <v>179</v>
      </c>
    </row>
    <row r="18" spans="1:17" x14ac:dyDescent="0.25">
      <c r="A18" s="89">
        <v>117</v>
      </c>
      <c r="B18" s="85" t="s">
        <v>142</v>
      </c>
      <c r="C18" s="85" t="str">
        <f>VLOOKUP(B18,Sheet9!A:B,2,0)</f>
        <v>grains</v>
      </c>
      <c r="D18" s="85" t="s">
        <v>112</v>
      </c>
      <c r="E18" s="85" t="s">
        <v>117</v>
      </c>
      <c r="F18" s="86">
        <v>12</v>
      </c>
      <c r="G18" s="86">
        <v>69</v>
      </c>
      <c r="H18" s="86">
        <v>89</v>
      </c>
      <c r="I18" s="91">
        <v>44203</v>
      </c>
      <c r="P18" t="s">
        <v>7</v>
      </c>
      <c r="Q18">
        <f>INDEX(G2:G19,MATCH(Q15,B2:B19,0))</f>
        <v>87</v>
      </c>
    </row>
    <row r="19" spans="1:17" x14ac:dyDescent="0.25">
      <c r="A19" s="90">
        <v>119</v>
      </c>
      <c r="B19" s="87" t="s">
        <v>144</v>
      </c>
      <c r="C19" s="87" t="str">
        <f>VLOOKUP(B19,Sheet9!A:B,2,0)</f>
        <v>energy</v>
      </c>
      <c r="D19" s="87" t="s">
        <v>114</v>
      </c>
      <c r="E19" s="87" t="s">
        <v>119</v>
      </c>
      <c r="F19" s="88">
        <v>16</v>
      </c>
      <c r="G19" s="88">
        <v>89</v>
      </c>
      <c r="H19" s="88">
        <v>78</v>
      </c>
      <c r="I19" s="92">
        <v>44230</v>
      </c>
      <c r="P19" t="s">
        <v>180</v>
      </c>
    </row>
    <row r="20" spans="1:17" x14ac:dyDescent="0.25">
      <c r="A20"/>
      <c r="B20"/>
      <c r="C20"/>
      <c r="D20"/>
      <c r="E20"/>
      <c r="F20"/>
      <c r="G20"/>
      <c r="H20"/>
    </row>
    <row r="21" spans="1:17" x14ac:dyDescent="0.25">
      <c r="A21"/>
      <c r="B21"/>
      <c r="C21"/>
      <c r="D21"/>
      <c r="E21"/>
      <c r="F21"/>
      <c r="G21"/>
      <c r="H21"/>
    </row>
  </sheetData>
  <dataValidations count="1">
    <dataValidation type="list" allowBlank="1" showInputMessage="1" showErrorMessage="1" sqref="Q15">
      <formula1>$B$2:$B$19</formula1>
    </dataValidation>
  </dataValidations>
  <pageMargins left="0.7" right="0.7" top="0.75" bottom="0.75" header="0.3" footer="0.3"/>
  <pageSetup orientation="portrait" r:id="rId1"/>
  <tableParts count="1">
    <tablePart r:id="rId2"/>
  </tableParts>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dimension ref="A1:B17"/>
  <sheetViews>
    <sheetView workbookViewId="0">
      <selection activeCell="A3" sqref="A3:B12"/>
    </sheetView>
  </sheetViews>
  <sheetFormatPr defaultRowHeight="15" x14ac:dyDescent="0.25"/>
  <cols>
    <col min="1" max="1" width="11.7109375" bestFit="1" customWidth="1"/>
    <col min="2" max="2" width="12" bestFit="1" customWidth="1"/>
  </cols>
  <sheetData>
    <row r="1" spans="1:2" x14ac:dyDescent="0.25">
      <c r="A1" s="54" t="s">
        <v>131</v>
      </c>
      <c r="B1" s="54" t="s">
        <v>132</v>
      </c>
    </row>
    <row r="2" spans="1:2" x14ac:dyDescent="0.25">
      <c r="A2" s="52" t="s">
        <v>121</v>
      </c>
      <c r="B2" s="52" t="s">
        <v>127</v>
      </c>
    </row>
    <row r="3" spans="1:2" x14ac:dyDescent="0.25">
      <c r="A3" s="53" t="s">
        <v>108</v>
      </c>
      <c r="B3" s="53" t="s">
        <v>128</v>
      </c>
    </row>
    <row r="4" spans="1:2" x14ac:dyDescent="0.25">
      <c r="A4" s="52" t="s">
        <v>122</v>
      </c>
      <c r="B4" s="52" t="s">
        <v>107</v>
      </c>
    </row>
    <row r="5" spans="1:2" x14ac:dyDescent="0.25">
      <c r="A5" s="53" t="s">
        <v>123</v>
      </c>
      <c r="B5" s="53" t="s">
        <v>87</v>
      </c>
    </row>
    <row r="6" spans="1:2" x14ac:dyDescent="0.25">
      <c r="A6" s="52" t="s">
        <v>109</v>
      </c>
      <c r="B6" s="52" t="s">
        <v>128</v>
      </c>
    </row>
    <row r="7" spans="1:2" x14ac:dyDescent="0.25">
      <c r="A7" s="53" t="s">
        <v>124</v>
      </c>
      <c r="B7" s="53" t="s">
        <v>88</v>
      </c>
    </row>
    <row r="8" spans="1:2" x14ac:dyDescent="0.25">
      <c r="A8" s="52" t="s">
        <v>107</v>
      </c>
      <c r="B8" s="52" t="s">
        <v>107</v>
      </c>
    </row>
    <row r="9" spans="1:2" x14ac:dyDescent="0.25">
      <c r="A9" s="53" t="s">
        <v>106</v>
      </c>
      <c r="B9" s="53" t="s">
        <v>128</v>
      </c>
    </row>
    <row r="10" spans="1:2" x14ac:dyDescent="0.25">
      <c r="A10" s="52" t="s">
        <v>125</v>
      </c>
      <c r="B10" s="52" t="s">
        <v>87</v>
      </c>
    </row>
    <row r="11" spans="1:2" x14ac:dyDescent="0.25">
      <c r="A11" s="53" t="s">
        <v>126</v>
      </c>
      <c r="B11" s="53" t="s">
        <v>87</v>
      </c>
    </row>
    <row r="12" spans="1:2" x14ac:dyDescent="0.25">
      <c r="A12" s="52" t="s">
        <v>129</v>
      </c>
      <c r="B12" s="52" t="s">
        <v>130</v>
      </c>
    </row>
    <row r="13" spans="1:2" x14ac:dyDescent="0.25">
      <c r="A13" s="53" t="s">
        <v>133</v>
      </c>
      <c r="B13" s="53" t="s">
        <v>134</v>
      </c>
    </row>
    <row r="14" spans="1:2" x14ac:dyDescent="0.25">
      <c r="A14" s="55" t="s">
        <v>142</v>
      </c>
      <c r="B14" s="55" t="s">
        <v>146</v>
      </c>
    </row>
    <row r="15" spans="1:2" x14ac:dyDescent="0.25">
      <c r="A15" s="56" t="s">
        <v>143</v>
      </c>
      <c r="B15" s="56" t="s">
        <v>147</v>
      </c>
    </row>
    <row r="16" spans="1:2" x14ac:dyDescent="0.25">
      <c r="A16" s="56" t="s">
        <v>144</v>
      </c>
      <c r="B16" s="56" t="s">
        <v>148</v>
      </c>
    </row>
    <row r="17" spans="1:2" x14ac:dyDescent="0.25">
      <c r="A17" s="56" t="s">
        <v>145</v>
      </c>
      <c r="B17" s="56" t="s">
        <v>149</v>
      </c>
    </row>
  </sheetData>
  <pageMargins left="0.7" right="0.7" top="0.75" bottom="0.75" header="0.3" footer="0.3"/>
  <tableParts count="1">
    <tablePart r:id="rId1"/>
  </tableParts>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dimension ref="C4:I17"/>
  <sheetViews>
    <sheetView topLeftCell="B1" workbookViewId="0"/>
  </sheetViews>
  <sheetFormatPr defaultRowHeight="15" x14ac:dyDescent="0.25"/>
  <cols>
    <col min="1" max="1" width="12.28515625" bestFit="1" customWidth="1"/>
    <col min="3" max="3" width="13.42578125" customWidth="1"/>
    <col min="4" max="4" width="9.140625" style="4"/>
    <col min="5" max="5" width="12.28515625" bestFit="1" customWidth="1"/>
    <col min="6" max="6" width="10.5703125" bestFit="1" customWidth="1"/>
    <col min="7" max="9" width="15.7109375" customWidth="1"/>
  </cols>
  <sheetData>
    <row r="4" spans="3:9" ht="15.75" thickBot="1" x14ac:dyDescent="0.3"/>
    <row r="5" spans="3:9" ht="15.75" thickBot="1" x14ac:dyDescent="0.3">
      <c r="E5" s="140" t="s">
        <v>135</v>
      </c>
      <c r="F5" s="141"/>
      <c r="G5" s="45" t="s">
        <v>136</v>
      </c>
    </row>
    <row r="6" spans="3:9" x14ac:dyDescent="0.25">
      <c r="E6" s="46" t="s">
        <v>137</v>
      </c>
      <c r="F6" s="47" t="s">
        <v>140</v>
      </c>
      <c r="G6" s="48" t="s">
        <v>138</v>
      </c>
    </row>
    <row r="7" spans="3:9" x14ac:dyDescent="0.25">
      <c r="E7" s="39">
        <v>1001</v>
      </c>
      <c r="F7" s="40">
        <v>2000</v>
      </c>
      <c r="G7" s="41">
        <v>0.05</v>
      </c>
    </row>
    <row r="8" spans="3:9" x14ac:dyDescent="0.25">
      <c r="E8" s="39">
        <v>2001</v>
      </c>
      <c r="F8" s="40">
        <v>5000</v>
      </c>
      <c r="G8" s="41">
        <v>0.1</v>
      </c>
    </row>
    <row r="9" spans="3:9" x14ac:dyDescent="0.25">
      <c r="E9" s="39">
        <v>3001</v>
      </c>
      <c r="F9" s="40">
        <v>10000</v>
      </c>
      <c r="G9" s="41">
        <v>0.2</v>
      </c>
    </row>
    <row r="10" spans="3:9" ht="15.75" thickBot="1" x14ac:dyDescent="0.3">
      <c r="E10" s="42">
        <v>4001</v>
      </c>
      <c r="F10" s="43" t="s">
        <v>139</v>
      </c>
      <c r="G10" s="44">
        <v>0.3</v>
      </c>
    </row>
    <row r="12" spans="3:9" ht="15.75" thickBot="1" x14ac:dyDescent="0.3"/>
    <row r="13" spans="3:9" ht="15.75" thickBot="1" x14ac:dyDescent="0.3">
      <c r="C13" s="49" t="s">
        <v>141</v>
      </c>
      <c r="D13" s="50" t="s">
        <v>65</v>
      </c>
      <c r="G13" s="59" t="s">
        <v>137</v>
      </c>
      <c r="H13" s="60" t="s">
        <v>140</v>
      </c>
      <c r="I13" s="61" t="s">
        <v>138</v>
      </c>
    </row>
    <row r="14" spans="3:9" x14ac:dyDescent="0.25">
      <c r="C14" s="39">
        <v>1500</v>
      </c>
      <c r="D14" s="51">
        <f>VLOOKUP(C14,E7:G10,3,1)</f>
        <v>0.05</v>
      </c>
      <c r="G14" s="39">
        <v>5001</v>
      </c>
      <c r="H14" s="40">
        <v>10000</v>
      </c>
      <c r="I14" s="41">
        <v>0.2</v>
      </c>
    </row>
    <row r="15" spans="3:9" x14ac:dyDescent="0.25">
      <c r="C15" s="39">
        <v>2500</v>
      </c>
      <c r="D15" s="51">
        <f>VLOOKUP(C15,E8:G11,3,1)</f>
        <v>0.1</v>
      </c>
      <c r="G15" s="39">
        <v>2001</v>
      </c>
      <c r="H15" s="40">
        <v>5000</v>
      </c>
      <c r="I15" s="41">
        <v>0.1</v>
      </c>
    </row>
    <row r="16" spans="3:9" x14ac:dyDescent="0.25">
      <c r="C16" s="39">
        <v>20000</v>
      </c>
      <c r="D16" s="51">
        <f>VLOOKUP(C16,E9:G12,3,1)</f>
        <v>0.3</v>
      </c>
      <c r="G16" s="39">
        <v>1001</v>
      </c>
      <c r="H16" s="40">
        <v>2000</v>
      </c>
      <c r="I16" s="41">
        <v>0.05</v>
      </c>
    </row>
    <row r="17" spans="3:9" ht="15.75" thickBot="1" x14ac:dyDescent="0.3">
      <c r="C17" s="42">
        <v>10000</v>
      </c>
      <c r="D17" s="51">
        <f>VLOOKUP(C17,E10:G13,3,1)</f>
        <v>0.3</v>
      </c>
      <c r="G17" s="42">
        <v>10001</v>
      </c>
      <c r="H17" s="43" t="s">
        <v>139</v>
      </c>
      <c r="I17" s="44">
        <v>0.3</v>
      </c>
    </row>
  </sheetData>
  <mergeCells count="1">
    <mergeCell ref="E5:F5"/>
  </mergeCells>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0"/>
  <dimension ref="B2:D10"/>
  <sheetViews>
    <sheetView workbookViewId="0"/>
  </sheetViews>
  <sheetFormatPr defaultRowHeight="15" x14ac:dyDescent="0.25"/>
  <cols>
    <col min="2" max="4" width="20.7109375" customWidth="1"/>
  </cols>
  <sheetData>
    <row r="2" spans="2:4" ht="15.75" thickBot="1" x14ac:dyDescent="0.3"/>
    <row r="3" spans="2:4" x14ac:dyDescent="0.25">
      <c r="B3" s="62" t="s">
        <v>151</v>
      </c>
      <c r="C3" s="63" t="s">
        <v>80</v>
      </c>
      <c r="D3" s="64" t="s">
        <v>104</v>
      </c>
    </row>
    <row r="4" spans="2:4" x14ac:dyDescent="0.25">
      <c r="B4" s="39">
        <v>103</v>
      </c>
      <c r="C4" s="40"/>
      <c r="D4" s="57">
        <f>VLOOKUP(Sheet11!B4,Sheet8!A2:H19,MATCH(Sheet8!G1,Sheet8!A1:H1,0))</f>
        <v>101</v>
      </c>
    </row>
    <row r="5" spans="2:4" x14ac:dyDescent="0.25">
      <c r="B5" s="39"/>
      <c r="C5" s="40"/>
      <c r="D5" s="57"/>
    </row>
    <row r="6" spans="2:4" x14ac:dyDescent="0.25">
      <c r="B6" s="39"/>
      <c r="C6" s="40"/>
      <c r="D6" s="57"/>
    </row>
    <row r="7" spans="2:4" x14ac:dyDescent="0.25">
      <c r="B7" s="39"/>
      <c r="C7" s="40"/>
      <c r="D7" s="57"/>
    </row>
    <row r="8" spans="2:4" x14ac:dyDescent="0.25">
      <c r="B8" s="39"/>
      <c r="C8" s="40"/>
      <c r="D8" s="57"/>
    </row>
    <row r="9" spans="2:4" x14ac:dyDescent="0.25">
      <c r="B9" s="39"/>
      <c r="C9" s="40"/>
      <c r="D9" s="57"/>
    </row>
    <row r="10" spans="2:4" ht="15.75" thickBot="1" x14ac:dyDescent="0.3">
      <c r="B10" s="42"/>
      <c r="C10" s="43"/>
      <c r="D10" s="58"/>
    </row>
  </sheetData>
  <pageMargins left="0.7" right="0.7" top="0.75" bottom="0.75" header="0.3" footer="0.3"/>
  <pageSetup orientation="portrait" r:id="rId1"/>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1"/>
  <dimension ref="A1:I14"/>
  <sheetViews>
    <sheetView workbookViewId="0"/>
  </sheetViews>
  <sheetFormatPr defaultRowHeight="15" x14ac:dyDescent="0.25"/>
  <cols>
    <col min="1" max="1" width="15.7109375" customWidth="1"/>
    <col min="2" max="5" width="15.7109375" style="65" customWidth="1"/>
    <col min="7" max="7" width="19.7109375" bestFit="1" customWidth="1"/>
    <col min="8" max="8" width="13.42578125" bestFit="1" customWidth="1"/>
  </cols>
  <sheetData>
    <row r="1" spans="1:9" ht="15.75" thickBot="1" x14ac:dyDescent="0.3">
      <c r="A1" s="77" t="s">
        <v>156</v>
      </c>
      <c r="B1" s="78" t="s">
        <v>157</v>
      </c>
      <c r="C1" s="78" t="s">
        <v>158</v>
      </c>
      <c r="D1" s="78" t="s">
        <v>159</v>
      </c>
      <c r="E1" s="79" t="s">
        <v>160</v>
      </c>
      <c r="F1" s="67"/>
    </row>
    <row r="2" spans="1:9" x14ac:dyDescent="0.25">
      <c r="A2" s="69" t="s">
        <v>161</v>
      </c>
      <c r="B2" s="71">
        <v>1489</v>
      </c>
      <c r="C2" s="71">
        <v>1077</v>
      </c>
      <c r="D2" s="71">
        <v>972</v>
      </c>
      <c r="E2" s="70">
        <v>1352</v>
      </c>
    </row>
    <row r="3" spans="1:9" x14ac:dyDescent="0.25">
      <c r="A3" s="72" t="s">
        <v>162</v>
      </c>
      <c r="B3" s="68">
        <v>2893</v>
      </c>
      <c r="C3" s="68">
        <v>2972</v>
      </c>
      <c r="D3" s="68">
        <v>2794</v>
      </c>
      <c r="E3" s="73">
        <v>2716</v>
      </c>
      <c r="H3" s="66" t="s">
        <v>173</v>
      </c>
      <c r="I3" s="66" t="s">
        <v>174</v>
      </c>
    </row>
    <row r="4" spans="1:9" x14ac:dyDescent="0.25">
      <c r="A4" s="72" t="s">
        <v>163</v>
      </c>
      <c r="B4" s="68">
        <v>4253</v>
      </c>
      <c r="C4" s="68">
        <v>4188</v>
      </c>
      <c r="D4" s="68">
        <v>4550</v>
      </c>
      <c r="E4" s="73">
        <v>4687</v>
      </c>
      <c r="H4" s="31" t="s">
        <v>161</v>
      </c>
      <c r="I4" s="31" t="s">
        <v>160</v>
      </c>
    </row>
    <row r="5" spans="1:9" x14ac:dyDescent="0.25">
      <c r="A5" s="72" t="s">
        <v>164</v>
      </c>
      <c r="B5" s="68">
        <v>6761</v>
      </c>
      <c r="C5" s="68">
        <v>6573</v>
      </c>
      <c r="D5" s="68">
        <v>6732</v>
      </c>
      <c r="E5" s="73">
        <v>6345</v>
      </c>
      <c r="G5" t="s">
        <v>181</v>
      </c>
    </row>
    <row r="6" spans="1:9" x14ac:dyDescent="0.25">
      <c r="A6" s="72" t="s">
        <v>165</v>
      </c>
      <c r="B6" s="68">
        <v>12786</v>
      </c>
      <c r="C6" s="68">
        <v>14675</v>
      </c>
      <c r="D6" s="68">
        <v>15789</v>
      </c>
      <c r="E6" s="73">
        <v>12453</v>
      </c>
      <c r="G6" t="s">
        <v>182</v>
      </c>
    </row>
    <row r="7" spans="1:9" x14ac:dyDescent="0.25">
      <c r="A7" s="72" t="s">
        <v>166</v>
      </c>
      <c r="B7" s="68">
        <v>7119</v>
      </c>
      <c r="C7" s="68">
        <v>7234</v>
      </c>
      <c r="D7" s="68">
        <v>7645</v>
      </c>
      <c r="E7" s="73">
        <v>6785</v>
      </c>
      <c r="H7" t="s">
        <v>175</v>
      </c>
    </row>
    <row r="8" spans="1:9" x14ac:dyDescent="0.25">
      <c r="A8" s="72" t="s">
        <v>167</v>
      </c>
      <c r="B8" s="68">
        <v>7431</v>
      </c>
      <c r="C8" s="68">
        <v>7449</v>
      </c>
      <c r="D8" s="68">
        <v>7586</v>
      </c>
      <c r="E8" s="73">
        <v>7111</v>
      </c>
      <c r="H8">
        <f>INDEX(B2:E13,MATCH(H4,A2:A13),MATCH(I4,B1:E1))</f>
        <v>1352</v>
      </c>
    </row>
    <row r="9" spans="1:9" x14ac:dyDescent="0.25">
      <c r="A9" s="72" t="s">
        <v>168</v>
      </c>
      <c r="B9" s="68">
        <v>3406</v>
      </c>
      <c r="C9" s="68">
        <v>3701</v>
      </c>
      <c r="D9" s="68">
        <v>3681</v>
      </c>
      <c r="E9" s="73">
        <v>3201</v>
      </c>
    </row>
    <row r="10" spans="1:9" x14ac:dyDescent="0.25">
      <c r="A10" s="72" t="s">
        <v>169</v>
      </c>
      <c r="B10" s="68">
        <v>5727</v>
      </c>
      <c r="C10" s="68">
        <v>6083</v>
      </c>
      <c r="D10" s="68">
        <v>6379</v>
      </c>
      <c r="E10" s="73">
        <v>5978</v>
      </c>
    </row>
    <row r="11" spans="1:9" x14ac:dyDescent="0.25">
      <c r="A11" s="72" t="s">
        <v>170</v>
      </c>
      <c r="B11" s="68">
        <v>117</v>
      </c>
      <c r="C11" s="68">
        <v>8</v>
      </c>
      <c r="D11" s="68">
        <v>19</v>
      </c>
      <c r="E11" s="73">
        <v>89</v>
      </c>
    </row>
    <row r="12" spans="1:9" x14ac:dyDescent="0.25">
      <c r="A12" s="72" t="s">
        <v>171</v>
      </c>
      <c r="B12" s="68">
        <v>6380</v>
      </c>
      <c r="C12" s="68">
        <v>7799</v>
      </c>
      <c r="D12" s="68">
        <v>8076</v>
      </c>
      <c r="E12" s="73">
        <v>761</v>
      </c>
    </row>
    <row r="13" spans="1:9" ht="15.75" thickBot="1" x14ac:dyDescent="0.3">
      <c r="A13" s="72" t="s">
        <v>172</v>
      </c>
      <c r="B13" s="68">
        <v>1728</v>
      </c>
      <c r="C13" s="68">
        <v>1976</v>
      </c>
      <c r="D13" s="68">
        <v>1896</v>
      </c>
      <c r="E13" s="73">
        <v>1678</v>
      </c>
    </row>
    <row r="14" spans="1:9" ht="16.5" thickTop="1" thickBot="1" x14ac:dyDescent="0.3">
      <c r="A14" s="74" t="s">
        <v>213</v>
      </c>
      <c r="B14" s="75"/>
      <c r="C14" s="75"/>
      <c r="D14" s="75"/>
      <c r="E14" s="76">
        <f>SUBTOTAL(109,Sheet12!$E$2:$E$13)</f>
        <v>53156</v>
      </c>
    </row>
  </sheetData>
  <dataValidations count="2">
    <dataValidation type="list" allowBlank="1" showInputMessage="1" showErrorMessage="1" sqref="H4">
      <formula1>$A$2:$A$13</formula1>
    </dataValidation>
    <dataValidation type="list" allowBlank="1" showInputMessage="1" showErrorMessage="1" sqref="I4">
      <formula1>$B$1:$E$1</formula1>
    </dataValidation>
  </dataValidations>
  <pageMargins left="0.7" right="0.7" top="0.75" bottom="0.75" header="0.3" footer="0.3"/>
  <pageSetup orientation="portrait" r:id="rId1"/>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2"/>
  <dimension ref="A1:F15"/>
  <sheetViews>
    <sheetView workbookViewId="0"/>
  </sheetViews>
  <sheetFormatPr defaultRowHeight="15" x14ac:dyDescent="0.25"/>
  <cols>
    <col min="1" max="1" width="17.42578125" bestFit="1" customWidth="1"/>
    <col min="2" max="2" width="11.5703125" bestFit="1" customWidth="1"/>
    <col min="3" max="3" width="16.7109375" customWidth="1"/>
    <col min="4" max="4" width="14.28515625" bestFit="1" customWidth="1"/>
    <col min="5" max="5" width="12.7109375" customWidth="1"/>
  </cols>
  <sheetData>
    <row r="1" spans="1:6" x14ac:dyDescent="0.25">
      <c r="A1" t="s">
        <v>183</v>
      </c>
      <c r="B1" t="s">
        <v>184</v>
      </c>
      <c r="C1" t="s">
        <v>185</v>
      </c>
      <c r="E1" t="s">
        <v>193</v>
      </c>
      <c r="F1" t="s">
        <v>192</v>
      </c>
    </row>
    <row r="2" spans="1:6" x14ac:dyDescent="0.25">
      <c r="A2" t="s">
        <v>186</v>
      </c>
      <c r="B2" t="str">
        <f t="shared" ref="B2:B7" si="0">LEFT(A2,F2-1)</f>
        <v>CLAIRE</v>
      </c>
      <c r="C2" t="str">
        <f t="shared" ref="C2:C7" si="1">TRIM(RIGHT(A2,E2-F2))</f>
        <v>GUTE</v>
      </c>
      <c r="E2">
        <f>LEN(A2)</f>
        <v>12</v>
      </c>
      <c r="F2">
        <f>FIND(",",A2)</f>
        <v>7</v>
      </c>
    </row>
    <row r="3" spans="1:6" x14ac:dyDescent="0.25">
      <c r="A3" t="s">
        <v>187</v>
      </c>
      <c r="B3" t="str">
        <f t="shared" si="0"/>
        <v>HAROLD</v>
      </c>
      <c r="C3" t="str">
        <f t="shared" si="1"/>
        <v>PAWLAN</v>
      </c>
      <c r="E3">
        <f>LEN(A3)</f>
        <v>14</v>
      </c>
      <c r="F3">
        <f>FIND(",",A3)</f>
        <v>7</v>
      </c>
    </row>
    <row r="4" spans="1:6" x14ac:dyDescent="0.25">
      <c r="A4" t="s">
        <v>188</v>
      </c>
      <c r="B4" t="str">
        <f t="shared" si="0"/>
        <v>PETE</v>
      </c>
      <c r="C4" t="str">
        <f t="shared" si="1"/>
        <v>KRIZ</v>
      </c>
      <c r="E4">
        <f>LEN(A4)</f>
        <v>10</v>
      </c>
      <c r="F4">
        <f>FIND(",",A4)</f>
        <v>5</v>
      </c>
    </row>
    <row r="5" spans="1:6" x14ac:dyDescent="0.25">
      <c r="A5" t="s">
        <v>189</v>
      </c>
      <c r="B5" t="str">
        <f t="shared" si="0"/>
        <v>KEN</v>
      </c>
      <c r="C5" t="str">
        <f t="shared" si="1"/>
        <v>BLACK</v>
      </c>
      <c r="E5">
        <f>LEN(A5)</f>
        <v>10</v>
      </c>
      <c r="F5">
        <f>FIND(",",A5)</f>
        <v>4</v>
      </c>
    </row>
    <row r="6" spans="1:6" x14ac:dyDescent="0.25">
      <c r="A6" t="s">
        <v>190</v>
      </c>
      <c r="B6" t="str">
        <f t="shared" si="0"/>
        <v>TRACY</v>
      </c>
      <c r="C6" t="str">
        <f t="shared" si="1"/>
        <v>BLUMATE</v>
      </c>
      <c r="E6">
        <f>LEN(A6)</f>
        <v>14</v>
      </c>
      <c r="F6">
        <f>FIND(",",A6)</f>
        <v>6</v>
      </c>
    </row>
    <row r="7" spans="1:6" x14ac:dyDescent="0.25">
      <c r="A7" t="s">
        <v>191</v>
      </c>
      <c r="B7" t="e">
        <f t="shared" si="0"/>
        <v>#VALUE!</v>
      </c>
      <c r="C7" t="str">
        <f t="shared" si="1"/>
        <v/>
      </c>
    </row>
    <row r="9" spans="1:6" x14ac:dyDescent="0.25">
      <c r="A9" t="s">
        <v>183</v>
      </c>
      <c r="B9" t="s">
        <v>184</v>
      </c>
      <c r="C9" t="s">
        <v>185</v>
      </c>
      <c r="E9" t="s">
        <v>212</v>
      </c>
    </row>
    <row r="10" spans="1:6" x14ac:dyDescent="0.25">
      <c r="A10" t="s">
        <v>186</v>
      </c>
      <c r="B10" t="s">
        <v>194</v>
      </c>
      <c r="C10" t="s">
        <v>200</v>
      </c>
      <c r="D10" t="str">
        <f t="shared" ref="D10:D15" si="2">LOWER(A10)</f>
        <v>claire, gute</v>
      </c>
      <c r="E10" t="s">
        <v>206</v>
      </c>
      <c r="F10" t="str">
        <f>UPPER(E10)</f>
        <v>CLAIRE, GUTE</v>
      </c>
    </row>
    <row r="11" spans="1:6" x14ac:dyDescent="0.25">
      <c r="A11" t="s">
        <v>187</v>
      </c>
      <c r="B11" t="s">
        <v>195</v>
      </c>
      <c r="C11" t="s">
        <v>201</v>
      </c>
      <c r="D11" t="str">
        <f t="shared" si="2"/>
        <v>harold, pawlan</v>
      </c>
      <c r="E11" t="s">
        <v>207</v>
      </c>
    </row>
    <row r="12" spans="1:6" x14ac:dyDescent="0.25">
      <c r="A12" t="s">
        <v>188</v>
      </c>
      <c r="B12" t="s">
        <v>196</v>
      </c>
      <c r="C12" t="s">
        <v>202</v>
      </c>
      <c r="D12" t="str">
        <f t="shared" si="2"/>
        <v>pete, kriz</v>
      </c>
      <c r="E12" t="s">
        <v>208</v>
      </c>
    </row>
    <row r="13" spans="1:6" x14ac:dyDescent="0.25">
      <c r="A13" t="s">
        <v>189</v>
      </c>
      <c r="B13" t="s">
        <v>197</v>
      </c>
      <c r="C13" t="s">
        <v>203</v>
      </c>
      <c r="D13" t="str">
        <f t="shared" si="2"/>
        <v>ken, black</v>
      </c>
      <c r="E13" t="s">
        <v>209</v>
      </c>
    </row>
    <row r="14" spans="1:6" x14ac:dyDescent="0.25">
      <c r="A14" t="s">
        <v>190</v>
      </c>
      <c r="B14" t="s">
        <v>198</v>
      </c>
      <c r="C14" t="s">
        <v>204</v>
      </c>
      <c r="D14" t="str">
        <f t="shared" si="2"/>
        <v>tracy, blumate</v>
      </c>
      <c r="E14" t="s">
        <v>210</v>
      </c>
    </row>
    <row r="15" spans="1:6" x14ac:dyDescent="0.25">
      <c r="A15" t="s">
        <v>191</v>
      </c>
      <c r="B15" t="s">
        <v>199</v>
      </c>
      <c r="C15" t="s">
        <v>205</v>
      </c>
      <c r="D15" t="str">
        <f t="shared" si="2"/>
        <v>linga, cazamia</v>
      </c>
      <c r="E15" t="s">
        <v>211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6" baseType="variant">
      <vt:variant>
        <vt:lpstr>Worksheets</vt:lpstr>
      </vt:variant>
      <vt:variant>
        <vt:i4>42</vt:i4>
      </vt:variant>
      <vt:variant>
        <vt:lpstr>Charts</vt:lpstr>
      </vt:variant>
      <vt:variant>
        <vt:i4>1</vt:i4>
      </vt:variant>
      <vt:variant>
        <vt:lpstr>Named Ranges</vt:lpstr>
      </vt:variant>
      <vt:variant>
        <vt:i4>14</vt:i4>
      </vt:variant>
    </vt:vector>
  </HeadingPairs>
  <TitlesOfParts>
    <vt:vector size="57" baseType="lpstr">
      <vt:lpstr>Sheet1</vt:lpstr>
      <vt:lpstr>Sheet2</vt:lpstr>
      <vt:lpstr>Sheet3</vt:lpstr>
      <vt:lpstr>Sheet4</vt:lpstr>
      <vt:lpstr>Sheet5</vt:lpstr>
      <vt:lpstr>Sheet6</vt:lpstr>
      <vt:lpstr>Sheet7</vt:lpstr>
      <vt:lpstr>pivot1</vt:lpstr>
      <vt:lpstr>pivot2</vt:lpstr>
      <vt:lpstr>Sheet15</vt:lpstr>
      <vt:lpstr>Sheet18</vt:lpstr>
      <vt:lpstr>Sheet14</vt:lpstr>
      <vt:lpstr>chat</vt:lpstr>
      <vt:lpstr>Sheet16</vt:lpstr>
      <vt:lpstr>Sheet17</vt:lpstr>
      <vt:lpstr>Sheet19</vt:lpstr>
      <vt:lpstr>Sheet20</vt:lpstr>
      <vt:lpstr>Sheet21</vt:lpstr>
      <vt:lpstr>histogram 2</vt:lpstr>
      <vt:lpstr>histogram</vt:lpstr>
      <vt:lpstr>Sheet22</vt:lpstr>
      <vt:lpstr>Dashboard</vt:lpstr>
      <vt:lpstr>Sheet26</vt:lpstr>
      <vt:lpstr>Sheet25</vt:lpstr>
      <vt:lpstr>Sheet24</vt:lpstr>
      <vt:lpstr>teritory</vt:lpstr>
      <vt:lpstr>product</vt:lpstr>
      <vt:lpstr>Dashboard2</vt:lpstr>
      <vt:lpstr>state</vt:lpstr>
      <vt:lpstr>data table</vt:lpstr>
      <vt:lpstr>Scenario Summary</vt:lpstr>
      <vt:lpstr>scenario MG</vt:lpstr>
      <vt:lpstr>goal seek</vt:lpstr>
      <vt:lpstr>Sheet23</vt:lpstr>
      <vt:lpstr>Sheet28</vt:lpstr>
      <vt:lpstr>forecast</vt:lpstr>
      <vt:lpstr>Sheet8</vt:lpstr>
      <vt:lpstr>Sheet9</vt:lpstr>
      <vt:lpstr>Sheet10</vt:lpstr>
      <vt:lpstr>Sheet11</vt:lpstr>
      <vt:lpstr>Sheet12</vt:lpstr>
      <vt:lpstr>Sheet13</vt:lpstr>
      <vt:lpstr>bar graph</vt:lpstr>
      <vt:lpstr>Area_Code</vt:lpstr>
      <vt:lpstr>Marked_Price</vt:lpstr>
      <vt:lpstr>marketing</vt:lpstr>
      <vt:lpstr>miscellaneous</vt:lpstr>
      <vt:lpstr>monthly_sales</vt:lpstr>
      <vt:lpstr>office_rent</vt:lpstr>
      <vt:lpstr>Product</vt:lpstr>
      <vt:lpstr>Product_Type</vt:lpstr>
      <vt:lpstr>Profit</vt:lpstr>
      <vt:lpstr>salaries</vt:lpstr>
      <vt:lpstr>State</vt:lpstr>
      <vt:lpstr>superstore</vt:lpstr>
      <vt:lpstr>Target_Profit</vt:lpstr>
      <vt:lpstr>Teritory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Jubril yusuf Danjuma</dc:creator>
  <cp:lastModifiedBy>Jubril yusuf Danjuma</cp:lastModifiedBy>
  <cp:lastPrinted>2023-08-13T21:00:16Z</cp:lastPrinted>
  <dcterms:created xsi:type="dcterms:W3CDTF">2023-08-10T10:42:03Z</dcterms:created>
  <dcterms:modified xsi:type="dcterms:W3CDTF">2023-12-14T16:12:37Z</dcterms:modified>
</cp:coreProperties>
</file>