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8800" yWindow="-440" windowWidth="25600" windowHeight="20480" tabRatio="752"/>
  </bookViews>
  <sheets>
    <sheet name="CostRev comparison" sheetId="6" r:id="rId1"/>
    <sheet name="Subscriber growth" sheetId="1" r:id="rId2"/>
    <sheet name="Revenue data sheet" sheetId="2" r:id="rId3"/>
    <sheet name="Cost Plan (monthly £)" sheetId="5" r:id="rId4"/>
    <sheet name="Cost Assumptions" sheetId="4" r:id="rId5"/>
    <sheet name="Valuation" sheetId="7" r:id="rId6"/>
  </sheets>
  <externalReferences>
    <externalReference r:id="rId7"/>
  </externalReferences>
  <definedNames>
    <definedName name="_xlnm.Print_Area" localSheetId="0">'CostRev comparison'!$B$1:$AO$79</definedName>
    <definedName name="_xlnm.Print_Area" localSheetId="1">'Subscriber growth'!$A$1:$W$77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3" i="6" l="1"/>
  <c r="AO21" i="6"/>
  <c r="AO23" i="6"/>
  <c r="AT13" i="6"/>
  <c r="AT21" i="6"/>
  <c r="AT23" i="6"/>
  <c r="C27" i="6"/>
  <c r="AK27" i="6"/>
  <c r="AL27" i="6"/>
  <c r="AM27" i="6"/>
  <c r="AN27" i="6"/>
  <c r="AO27" i="6"/>
  <c r="C28" i="6"/>
  <c r="AK28" i="6"/>
  <c r="AL28" i="6"/>
  <c r="AM28" i="6"/>
  <c r="AN28" i="6"/>
  <c r="AO28" i="6"/>
  <c r="C29" i="6"/>
  <c r="AK29" i="6"/>
  <c r="AL29" i="6"/>
  <c r="AM29" i="6"/>
  <c r="AN29" i="6"/>
  <c r="AO29" i="6"/>
  <c r="C30" i="6"/>
  <c r="AK30" i="6"/>
  <c r="AL30" i="6"/>
  <c r="AM30" i="6"/>
  <c r="AN30" i="6"/>
  <c r="AO30" i="6"/>
  <c r="AO31" i="6"/>
  <c r="C33" i="6"/>
  <c r="AK33" i="6"/>
  <c r="AL33" i="6"/>
  <c r="AM33" i="6"/>
  <c r="AN33" i="6"/>
  <c r="AO33" i="6"/>
  <c r="C34" i="6"/>
  <c r="AK34" i="6"/>
  <c r="AL34" i="6"/>
  <c r="AM34" i="6"/>
  <c r="AN34" i="6"/>
  <c r="AO34" i="6"/>
  <c r="C35" i="6"/>
  <c r="AK35" i="6"/>
  <c r="AL35" i="6"/>
  <c r="AM35" i="6"/>
  <c r="AN35" i="6"/>
  <c r="AO35" i="6"/>
  <c r="C36" i="6"/>
  <c r="AK36" i="6"/>
  <c r="AL36" i="6"/>
  <c r="AM36" i="6"/>
  <c r="AN36" i="6"/>
  <c r="AO36" i="6"/>
  <c r="C37" i="6"/>
  <c r="AK37" i="6"/>
  <c r="AL37" i="6"/>
  <c r="AM37" i="6"/>
  <c r="AN37" i="6"/>
  <c r="AO37" i="6"/>
  <c r="C38" i="6"/>
  <c r="AK38" i="6"/>
  <c r="AL38" i="6"/>
  <c r="AM38" i="6"/>
  <c r="AN38" i="6"/>
  <c r="AO38" i="6"/>
  <c r="AO39" i="6"/>
  <c r="C41" i="6"/>
  <c r="AK41" i="6"/>
  <c r="AL41" i="6"/>
  <c r="AM41" i="6"/>
  <c r="AN41" i="6"/>
  <c r="AO41" i="6"/>
  <c r="C42" i="6"/>
  <c r="AK42" i="6"/>
  <c r="AL42" i="6"/>
  <c r="AM42" i="6"/>
  <c r="AN42" i="6"/>
  <c r="AO42" i="6"/>
  <c r="C43" i="6"/>
  <c r="AK43" i="6"/>
  <c r="AL43" i="6"/>
  <c r="AM43" i="6"/>
  <c r="AN43" i="6"/>
  <c r="AO43" i="6"/>
  <c r="C44" i="6"/>
  <c r="AK44" i="6"/>
  <c r="AL44" i="6"/>
  <c r="AM44" i="6"/>
  <c r="AN44" i="6"/>
  <c r="AO44" i="6"/>
  <c r="AO46" i="6"/>
  <c r="C48" i="6"/>
  <c r="AK48" i="6"/>
  <c r="AL48" i="6"/>
  <c r="AM48" i="6"/>
  <c r="AN48" i="6"/>
  <c r="AO48" i="6"/>
  <c r="C49" i="6"/>
  <c r="AK49" i="6"/>
  <c r="AL49" i="6"/>
  <c r="AM49" i="6"/>
  <c r="AN49" i="6"/>
  <c r="AO49" i="6"/>
  <c r="C50" i="6"/>
  <c r="AK50" i="6"/>
  <c r="AL50" i="6"/>
  <c r="AM50" i="6"/>
  <c r="AN50" i="6"/>
  <c r="AO50" i="6"/>
  <c r="C51" i="6"/>
  <c r="AK51" i="6"/>
  <c r="AL51" i="6"/>
  <c r="AM51" i="6"/>
  <c r="AN51" i="6"/>
  <c r="AO51" i="6"/>
  <c r="C52" i="6"/>
  <c r="AK52" i="6"/>
  <c r="AL52" i="6"/>
  <c r="AM52" i="6"/>
  <c r="AN52" i="6"/>
  <c r="AO52" i="6"/>
  <c r="C53" i="6"/>
  <c r="AK53" i="6"/>
  <c r="AL53" i="6"/>
  <c r="AM53" i="6"/>
  <c r="AN53" i="6"/>
  <c r="AO53" i="6"/>
  <c r="C54" i="6"/>
  <c r="AK54" i="6"/>
  <c r="AL54" i="6"/>
  <c r="AO54" i="6"/>
  <c r="AO55" i="6"/>
  <c r="C57" i="6"/>
  <c r="AK57" i="6"/>
  <c r="AL57" i="6"/>
  <c r="AM57" i="6"/>
  <c r="AN57" i="6"/>
  <c r="AO57" i="6"/>
  <c r="C58" i="6"/>
  <c r="AK58" i="6"/>
  <c r="AL58" i="6"/>
  <c r="AM58" i="6"/>
  <c r="AN58" i="6"/>
  <c r="AO58" i="6"/>
  <c r="C59" i="6"/>
  <c r="AK59" i="6"/>
  <c r="AL59" i="6"/>
  <c r="AM59" i="6"/>
  <c r="AN59" i="6"/>
  <c r="AO59" i="6"/>
  <c r="AO60" i="6"/>
  <c r="C62" i="6"/>
  <c r="AK62" i="6"/>
  <c r="AL62" i="6"/>
  <c r="AM62" i="6"/>
  <c r="AN62" i="6"/>
  <c r="AO62" i="6"/>
  <c r="C63" i="6"/>
  <c r="AK63" i="6"/>
  <c r="AL63" i="6"/>
  <c r="AM63" i="6"/>
  <c r="AN63" i="6"/>
  <c r="AO63" i="6"/>
  <c r="AO64" i="6"/>
  <c r="AO66" i="6"/>
  <c r="AO73" i="6"/>
  <c r="Z13" i="6"/>
  <c r="Z21" i="6"/>
  <c r="Z23" i="6"/>
  <c r="V27" i="6"/>
  <c r="W27" i="6"/>
  <c r="X27" i="6"/>
  <c r="Y27" i="6"/>
  <c r="Z27" i="6"/>
  <c r="V28" i="6"/>
  <c r="W28" i="6"/>
  <c r="X28" i="6"/>
  <c r="Y28" i="6"/>
  <c r="Z28" i="6"/>
  <c r="V29" i="6"/>
  <c r="W29" i="6"/>
  <c r="X29" i="6"/>
  <c r="Y29" i="6"/>
  <c r="Z29" i="6"/>
  <c r="V30" i="6"/>
  <c r="W30" i="6"/>
  <c r="X30" i="6"/>
  <c r="Y30" i="6"/>
  <c r="Z30" i="6"/>
  <c r="Z31" i="6"/>
  <c r="V33" i="6"/>
  <c r="W33" i="6"/>
  <c r="X33" i="6"/>
  <c r="Y33" i="6"/>
  <c r="Z33" i="6"/>
  <c r="V34" i="6"/>
  <c r="W34" i="6"/>
  <c r="X34" i="6"/>
  <c r="Y34" i="6"/>
  <c r="Z34" i="6"/>
  <c r="V35" i="6"/>
  <c r="W35" i="6"/>
  <c r="X35" i="6"/>
  <c r="Y35" i="6"/>
  <c r="Z35" i="6"/>
  <c r="V36" i="6"/>
  <c r="W36" i="6"/>
  <c r="X36" i="6"/>
  <c r="Y36" i="6"/>
  <c r="Z36" i="6"/>
  <c r="V37" i="6"/>
  <c r="W37" i="6"/>
  <c r="X37" i="6"/>
  <c r="Y37" i="6"/>
  <c r="Z37" i="6"/>
  <c r="V38" i="6"/>
  <c r="W38" i="6"/>
  <c r="X38" i="6"/>
  <c r="Y38" i="6"/>
  <c r="Z38" i="6"/>
  <c r="Z39" i="6"/>
  <c r="V41" i="6"/>
  <c r="W41" i="6"/>
  <c r="X41" i="6"/>
  <c r="Y41" i="6"/>
  <c r="Z41" i="6"/>
  <c r="V42" i="6"/>
  <c r="W42" i="6"/>
  <c r="X42" i="6"/>
  <c r="Y42" i="6"/>
  <c r="Z42" i="6"/>
  <c r="V43" i="6"/>
  <c r="W43" i="6"/>
  <c r="X43" i="6"/>
  <c r="Y43" i="6"/>
  <c r="Z43" i="6"/>
  <c r="V44" i="6"/>
  <c r="W44" i="6"/>
  <c r="X44" i="6"/>
  <c r="Y44" i="6"/>
  <c r="Z44" i="6"/>
  <c r="Z46" i="6"/>
  <c r="V48" i="6"/>
  <c r="W48" i="6"/>
  <c r="X48" i="6"/>
  <c r="Y48" i="6"/>
  <c r="Z48" i="6"/>
  <c r="V49" i="6"/>
  <c r="W49" i="6"/>
  <c r="X49" i="6"/>
  <c r="Y49" i="6"/>
  <c r="Z49" i="6"/>
  <c r="V50" i="6"/>
  <c r="W50" i="6"/>
  <c r="X50" i="6"/>
  <c r="Y50" i="6"/>
  <c r="Z50" i="6"/>
  <c r="V51" i="6"/>
  <c r="W51" i="6"/>
  <c r="X51" i="6"/>
  <c r="Y51" i="6"/>
  <c r="Z51" i="6"/>
  <c r="V52" i="6"/>
  <c r="W52" i="6"/>
  <c r="X52" i="6"/>
  <c r="Y52" i="6"/>
  <c r="Z52" i="6"/>
  <c r="V53" i="6"/>
  <c r="W53" i="6"/>
  <c r="X53" i="6"/>
  <c r="Y53" i="6"/>
  <c r="Z53" i="6"/>
  <c r="V54" i="6"/>
  <c r="W54" i="6"/>
  <c r="Z54" i="6"/>
  <c r="Z55" i="6"/>
  <c r="V57" i="6"/>
  <c r="W57" i="6"/>
  <c r="X57" i="6"/>
  <c r="Y57" i="6"/>
  <c r="Z57" i="6"/>
  <c r="V58" i="6"/>
  <c r="W58" i="6"/>
  <c r="X58" i="6"/>
  <c r="Y58" i="6"/>
  <c r="Z58" i="6"/>
  <c r="V59" i="6"/>
  <c r="W59" i="6"/>
  <c r="X59" i="6"/>
  <c r="Y59" i="6"/>
  <c r="Z59" i="6"/>
  <c r="Z60" i="6"/>
  <c r="V62" i="6"/>
  <c r="W62" i="6"/>
  <c r="X62" i="6"/>
  <c r="Y62" i="6"/>
  <c r="Z62" i="6"/>
  <c r="V63" i="6"/>
  <c r="W63" i="6"/>
  <c r="X63" i="6"/>
  <c r="Y63" i="6"/>
  <c r="Z63" i="6"/>
  <c r="Z64" i="6"/>
  <c r="Z66" i="6"/>
  <c r="Z68" i="6"/>
  <c r="E27" i="6"/>
  <c r="F27" i="6"/>
  <c r="G27" i="6"/>
  <c r="I27" i="6"/>
  <c r="J27" i="6"/>
  <c r="K27" i="6"/>
  <c r="M27" i="6"/>
  <c r="N27" i="6"/>
  <c r="O27" i="6"/>
  <c r="Q27" i="6"/>
  <c r="R27" i="6"/>
  <c r="S27" i="6"/>
  <c r="U27" i="6"/>
  <c r="E28" i="6"/>
  <c r="F28" i="6"/>
  <c r="G28" i="6"/>
  <c r="I28" i="6"/>
  <c r="J28" i="6"/>
  <c r="K28" i="6"/>
  <c r="M28" i="6"/>
  <c r="N28" i="6"/>
  <c r="O28" i="6"/>
  <c r="Q28" i="6"/>
  <c r="R28" i="6"/>
  <c r="S28" i="6"/>
  <c r="U28" i="6"/>
  <c r="E29" i="6"/>
  <c r="F29" i="6"/>
  <c r="G29" i="6"/>
  <c r="I29" i="6"/>
  <c r="J29" i="6"/>
  <c r="K29" i="6"/>
  <c r="M29" i="6"/>
  <c r="N29" i="6"/>
  <c r="O29" i="6"/>
  <c r="Q29" i="6"/>
  <c r="R29" i="6"/>
  <c r="S29" i="6"/>
  <c r="U29" i="6"/>
  <c r="E30" i="6"/>
  <c r="F30" i="6"/>
  <c r="G30" i="6"/>
  <c r="I30" i="6"/>
  <c r="J30" i="6"/>
  <c r="K30" i="6"/>
  <c r="M30" i="6"/>
  <c r="N30" i="6"/>
  <c r="O30" i="6"/>
  <c r="Q30" i="6"/>
  <c r="R30" i="6"/>
  <c r="S30" i="6"/>
  <c r="U30" i="6"/>
  <c r="U31" i="6"/>
  <c r="E33" i="6"/>
  <c r="F33" i="6"/>
  <c r="G33" i="6"/>
  <c r="I33" i="6"/>
  <c r="J33" i="6"/>
  <c r="K33" i="6"/>
  <c r="M33" i="6"/>
  <c r="N33" i="6"/>
  <c r="O33" i="6"/>
  <c r="Q33" i="6"/>
  <c r="R33" i="6"/>
  <c r="S33" i="6"/>
  <c r="U33" i="6"/>
  <c r="E34" i="6"/>
  <c r="F34" i="6"/>
  <c r="G34" i="6"/>
  <c r="I34" i="6"/>
  <c r="J34" i="6"/>
  <c r="K34" i="6"/>
  <c r="M34" i="6"/>
  <c r="N34" i="6"/>
  <c r="O34" i="6"/>
  <c r="Q34" i="6"/>
  <c r="R34" i="6"/>
  <c r="S34" i="6"/>
  <c r="U34" i="6"/>
  <c r="E35" i="6"/>
  <c r="F35" i="6"/>
  <c r="G35" i="6"/>
  <c r="I35" i="6"/>
  <c r="J35" i="6"/>
  <c r="K35" i="6"/>
  <c r="M35" i="6"/>
  <c r="N35" i="6"/>
  <c r="O35" i="6"/>
  <c r="Q35" i="6"/>
  <c r="R35" i="6"/>
  <c r="S35" i="6"/>
  <c r="U35" i="6"/>
  <c r="E36" i="6"/>
  <c r="F36" i="6"/>
  <c r="G36" i="6"/>
  <c r="I36" i="6"/>
  <c r="J36" i="6"/>
  <c r="K36" i="6"/>
  <c r="M36" i="6"/>
  <c r="N36" i="6"/>
  <c r="O36" i="6"/>
  <c r="Q36" i="6"/>
  <c r="R36" i="6"/>
  <c r="S36" i="6"/>
  <c r="U36" i="6"/>
  <c r="E37" i="6"/>
  <c r="F37" i="6"/>
  <c r="G37" i="6"/>
  <c r="I37" i="6"/>
  <c r="J37" i="6"/>
  <c r="K37" i="6"/>
  <c r="M37" i="6"/>
  <c r="N37" i="6"/>
  <c r="O37" i="6"/>
  <c r="Q37" i="6"/>
  <c r="R37" i="6"/>
  <c r="S37" i="6"/>
  <c r="U37" i="6"/>
  <c r="E38" i="6"/>
  <c r="F38" i="6"/>
  <c r="G38" i="6"/>
  <c r="I38" i="6"/>
  <c r="J38" i="6"/>
  <c r="K38" i="6"/>
  <c r="M38" i="6"/>
  <c r="N38" i="6"/>
  <c r="O38" i="6"/>
  <c r="Q38" i="6"/>
  <c r="R38" i="6"/>
  <c r="S38" i="6"/>
  <c r="U38" i="6"/>
  <c r="U39" i="6"/>
  <c r="E41" i="6"/>
  <c r="F41" i="6"/>
  <c r="G41" i="6"/>
  <c r="I41" i="6"/>
  <c r="J41" i="6"/>
  <c r="K41" i="6"/>
  <c r="M41" i="6"/>
  <c r="N41" i="6"/>
  <c r="O41" i="6"/>
  <c r="Q41" i="6"/>
  <c r="R41" i="6"/>
  <c r="S41" i="6"/>
  <c r="U41" i="6"/>
  <c r="E42" i="6"/>
  <c r="F42" i="6"/>
  <c r="G42" i="6"/>
  <c r="I42" i="6"/>
  <c r="J42" i="6"/>
  <c r="K42" i="6"/>
  <c r="M42" i="6"/>
  <c r="N42" i="6"/>
  <c r="O42" i="6"/>
  <c r="Q42" i="6"/>
  <c r="R42" i="6"/>
  <c r="S42" i="6"/>
  <c r="U42" i="6"/>
  <c r="E43" i="6"/>
  <c r="F43" i="6"/>
  <c r="G43" i="6"/>
  <c r="I43" i="6"/>
  <c r="J43" i="6"/>
  <c r="K43" i="6"/>
  <c r="M43" i="6"/>
  <c r="N43" i="6"/>
  <c r="O43" i="6"/>
  <c r="Q43" i="6"/>
  <c r="R43" i="6"/>
  <c r="S43" i="6"/>
  <c r="U43" i="6"/>
  <c r="E44" i="6"/>
  <c r="F44" i="6"/>
  <c r="G44" i="6"/>
  <c r="I44" i="6"/>
  <c r="J44" i="6"/>
  <c r="K44" i="6"/>
  <c r="M44" i="6"/>
  <c r="N44" i="6"/>
  <c r="O44" i="6"/>
  <c r="Q44" i="6"/>
  <c r="R44" i="6"/>
  <c r="S44" i="6"/>
  <c r="U44" i="6"/>
  <c r="U46" i="6"/>
  <c r="E48" i="6"/>
  <c r="F48" i="6"/>
  <c r="G48" i="6"/>
  <c r="I48" i="6"/>
  <c r="J48" i="6"/>
  <c r="K48" i="6"/>
  <c r="M48" i="6"/>
  <c r="N48" i="6"/>
  <c r="O48" i="6"/>
  <c r="Q48" i="6"/>
  <c r="R48" i="6"/>
  <c r="S48" i="6"/>
  <c r="U48" i="6"/>
  <c r="E49" i="6"/>
  <c r="F49" i="6"/>
  <c r="G49" i="6"/>
  <c r="I49" i="6"/>
  <c r="J49" i="6"/>
  <c r="K49" i="6"/>
  <c r="M49" i="6"/>
  <c r="N49" i="6"/>
  <c r="O49" i="6"/>
  <c r="Q49" i="6"/>
  <c r="R49" i="6"/>
  <c r="S49" i="6"/>
  <c r="U49" i="6"/>
  <c r="E50" i="6"/>
  <c r="F50" i="6"/>
  <c r="G50" i="6"/>
  <c r="I50" i="6"/>
  <c r="J50" i="6"/>
  <c r="K50" i="6"/>
  <c r="M50" i="6"/>
  <c r="N50" i="6"/>
  <c r="O50" i="6"/>
  <c r="Q50" i="6"/>
  <c r="R50" i="6"/>
  <c r="S50" i="6"/>
  <c r="U50" i="6"/>
  <c r="E51" i="6"/>
  <c r="F51" i="6"/>
  <c r="G51" i="6"/>
  <c r="I51" i="6"/>
  <c r="J51" i="6"/>
  <c r="K51" i="6"/>
  <c r="M51" i="6"/>
  <c r="N51" i="6"/>
  <c r="O51" i="6"/>
  <c r="Q51" i="6"/>
  <c r="R51" i="6"/>
  <c r="S51" i="6"/>
  <c r="U51" i="6"/>
  <c r="E52" i="6"/>
  <c r="F52" i="6"/>
  <c r="G52" i="6"/>
  <c r="I52" i="6"/>
  <c r="J52" i="6"/>
  <c r="K52" i="6"/>
  <c r="M52" i="6"/>
  <c r="N52" i="6"/>
  <c r="O52" i="6"/>
  <c r="Q52" i="6"/>
  <c r="R52" i="6"/>
  <c r="S52" i="6"/>
  <c r="U52" i="6"/>
  <c r="E53" i="6"/>
  <c r="F53" i="6"/>
  <c r="G53" i="6"/>
  <c r="I53" i="6"/>
  <c r="J53" i="6"/>
  <c r="K53" i="6"/>
  <c r="M53" i="6"/>
  <c r="N53" i="6"/>
  <c r="O53" i="6"/>
  <c r="Q53" i="6"/>
  <c r="R53" i="6"/>
  <c r="S53" i="6"/>
  <c r="U53" i="6"/>
  <c r="F54" i="6"/>
  <c r="K54" i="6"/>
  <c r="U54" i="6"/>
  <c r="U55" i="6"/>
  <c r="E57" i="6"/>
  <c r="F57" i="6"/>
  <c r="G57" i="6"/>
  <c r="I57" i="6"/>
  <c r="J57" i="6"/>
  <c r="K57" i="6"/>
  <c r="M57" i="6"/>
  <c r="N57" i="6"/>
  <c r="O57" i="6"/>
  <c r="Q57" i="6"/>
  <c r="R57" i="6"/>
  <c r="S57" i="6"/>
  <c r="U57" i="6"/>
  <c r="E58" i="6"/>
  <c r="F58" i="6"/>
  <c r="G58" i="6"/>
  <c r="I58" i="6"/>
  <c r="J58" i="6"/>
  <c r="K58" i="6"/>
  <c r="M58" i="6"/>
  <c r="N58" i="6"/>
  <c r="O58" i="6"/>
  <c r="Q58" i="6"/>
  <c r="R58" i="6"/>
  <c r="S58" i="6"/>
  <c r="U58" i="6"/>
  <c r="E59" i="6"/>
  <c r="F59" i="6"/>
  <c r="G59" i="6"/>
  <c r="I59" i="6"/>
  <c r="J59" i="6"/>
  <c r="K59" i="6"/>
  <c r="M59" i="6"/>
  <c r="N59" i="6"/>
  <c r="O59" i="6"/>
  <c r="Q59" i="6"/>
  <c r="R59" i="6"/>
  <c r="S59" i="6"/>
  <c r="U59" i="6"/>
  <c r="U60" i="6"/>
  <c r="E62" i="6"/>
  <c r="F62" i="6"/>
  <c r="G62" i="6"/>
  <c r="I62" i="6"/>
  <c r="J62" i="6"/>
  <c r="K62" i="6"/>
  <c r="M62" i="6"/>
  <c r="N62" i="6"/>
  <c r="O62" i="6"/>
  <c r="Q62" i="6"/>
  <c r="R62" i="6"/>
  <c r="S62" i="6"/>
  <c r="U62" i="6"/>
  <c r="E63" i="6"/>
  <c r="F63" i="6"/>
  <c r="G63" i="6"/>
  <c r="I63" i="6"/>
  <c r="J63" i="6"/>
  <c r="K63" i="6"/>
  <c r="M63" i="6"/>
  <c r="N63" i="6"/>
  <c r="O63" i="6"/>
  <c r="Q63" i="6"/>
  <c r="R63" i="6"/>
  <c r="S63" i="6"/>
  <c r="U63" i="6"/>
  <c r="U64" i="6"/>
  <c r="U66" i="6"/>
  <c r="U68" i="6"/>
  <c r="U70" i="6"/>
  <c r="U71" i="6"/>
  <c r="Z71" i="6"/>
  <c r="AE13" i="6"/>
  <c r="AE21" i="6"/>
  <c r="AE23" i="6"/>
  <c r="AA27" i="6"/>
  <c r="AB27" i="6"/>
  <c r="AC27" i="6"/>
  <c r="AD27" i="6"/>
  <c r="AE27" i="6"/>
  <c r="AA28" i="6"/>
  <c r="AB28" i="6"/>
  <c r="AC28" i="6"/>
  <c r="AD28" i="6"/>
  <c r="AE28" i="6"/>
  <c r="AA29" i="6"/>
  <c r="AB29" i="6"/>
  <c r="AC29" i="6"/>
  <c r="AD29" i="6"/>
  <c r="AE29" i="6"/>
  <c r="AA30" i="6"/>
  <c r="AB30" i="6"/>
  <c r="AC30" i="6"/>
  <c r="AD30" i="6"/>
  <c r="AE30" i="6"/>
  <c r="AE31" i="6"/>
  <c r="AA33" i="6"/>
  <c r="AB33" i="6"/>
  <c r="AC33" i="6"/>
  <c r="AD33" i="6"/>
  <c r="AE33" i="6"/>
  <c r="AA34" i="6"/>
  <c r="AB34" i="6"/>
  <c r="AC34" i="6"/>
  <c r="AD34" i="6"/>
  <c r="AE34" i="6"/>
  <c r="AA35" i="6"/>
  <c r="AB35" i="6"/>
  <c r="AC35" i="6"/>
  <c r="AD35" i="6"/>
  <c r="AE35" i="6"/>
  <c r="AA36" i="6"/>
  <c r="AB36" i="6"/>
  <c r="AC36" i="6"/>
  <c r="AD36" i="6"/>
  <c r="AE36" i="6"/>
  <c r="AA37" i="6"/>
  <c r="AB37" i="6"/>
  <c r="AC37" i="6"/>
  <c r="AD37" i="6"/>
  <c r="AE37" i="6"/>
  <c r="AA38" i="6"/>
  <c r="AB38" i="6"/>
  <c r="AC38" i="6"/>
  <c r="AD38" i="6"/>
  <c r="AE38" i="6"/>
  <c r="AE39" i="6"/>
  <c r="AA41" i="6"/>
  <c r="AB41" i="6"/>
  <c r="AC41" i="6"/>
  <c r="AD41" i="6"/>
  <c r="AE41" i="6"/>
  <c r="AA42" i="6"/>
  <c r="AB42" i="6"/>
  <c r="AC42" i="6"/>
  <c r="AD42" i="6"/>
  <c r="AE42" i="6"/>
  <c r="AA43" i="6"/>
  <c r="AB43" i="6"/>
  <c r="AC43" i="6"/>
  <c r="AD43" i="6"/>
  <c r="AE43" i="6"/>
  <c r="AA44" i="6"/>
  <c r="AB44" i="6"/>
  <c r="AC44" i="6"/>
  <c r="AD44" i="6"/>
  <c r="AE44" i="6"/>
  <c r="AE46" i="6"/>
  <c r="AA48" i="6"/>
  <c r="AB48" i="6"/>
  <c r="AC48" i="6"/>
  <c r="AD48" i="6"/>
  <c r="AE48" i="6"/>
  <c r="AA49" i="6"/>
  <c r="AB49" i="6"/>
  <c r="AC49" i="6"/>
  <c r="AD49" i="6"/>
  <c r="AE49" i="6"/>
  <c r="AA50" i="6"/>
  <c r="AB50" i="6"/>
  <c r="AC50" i="6"/>
  <c r="AD50" i="6"/>
  <c r="AE50" i="6"/>
  <c r="AA51" i="6"/>
  <c r="AB51" i="6"/>
  <c r="AC51" i="6"/>
  <c r="AD51" i="6"/>
  <c r="AE51" i="6"/>
  <c r="AA52" i="6"/>
  <c r="AB52" i="6"/>
  <c r="AC52" i="6"/>
  <c r="AD52" i="6"/>
  <c r="AE52" i="6"/>
  <c r="AA53" i="6"/>
  <c r="AB53" i="6"/>
  <c r="AC53" i="6"/>
  <c r="AD53" i="6"/>
  <c r="AE53" i="6"/>
  <c r="AA54" i="6"/>
  <c r="AB54" i="6"/>
  <c r="AE54" i="6"/>
  <c r="AE55" i="6"/>
  <c r="AA57" i="6"/>
  <c r="AB57" i="6"/>
  <c r="AC57" i="6"/>
  <c r="AD57" i="6"/>
  <c r="AE57" i="6"/>
  <c r="AA58" i="6"/>
  <c r="AB58" i="6"/>
  <c r="AC58" i="6"/>
  <c r="AD58" i="6"/>
  <c r="AE58" i="6"/>
  <c r="AA59" i="6"/>
  <c r="AB59" i="6"/>
  <c r="AC59" i="6"/>
  <c r="AD59" i="6"/>
  <c r="AE59" i="6"/>
  <c r="AE60" i="6"/>
  <c r="AA62" i="6"/>
  <c r="AB62" i="6"/>
  <c r="AC62" i="6"/>
  <c r="AD62" i="6"/>
  <c r="AE62" i="6"/>
  <c r="AA63" i="6"/>
  <c r="AB63" i="6"/>
  <c r="AC63" i="6"/>
  <c r="AD63" i="6"/>
  <c r="AE63" i="6"/>
  <c r="AE64" i="6"/>
  <c r="AE66" i="6"/>
  <c r="AE68" i="6"/>
  <c r="AE71" i="6"/>
  <c r="AJ13" i="6"/>
  <c r="AJ21" i="6"/>
  <c r="AJ23" i="6"/>
  <c r="AF27" i="6"/>
  <c r="AG27" i="6"/>
  <c r="AH27" i="6"/>
  <c r="AI27" i="6"/>
  <c r="AJ27" i="6"/>
  <c r="AF28" i="6"/>
  <c r="AG28" i="6"/>
  <c r="AH28" i="6"/>
  <c r="AI28" i="6"/>
  <c r="AJ28" i="6"/>
  <c r="AF29" i="6"/>
  <c r="AG29" i="6"/>
  <c r="AH29" i="6"/>
  <c r="AI29" i="6"/>
  <c r="AJ29" i="6"/>
  <c r="AF30" i="6"/>
  <c r="AG30" i="6"/>
  <c r="AH30" i="6"/>
  <c r="AI30" i="6"/>
  <c r="AJ30" i="6"/>
  <c r="AJ31" i="6"/>
  <c r="AF33" i="6"/>
  <c r="AG33" i="6"/>
  <c r="AH33" i="6"/>
  <c r="AI33" i="6"/>
  <c r="AJ33" i="6"/>
  <c r="AF34" i="6"/>
  <c r="AG34" i="6"/>
  <c r="AH34" i="6"/>
  <c r="AI34" i="6"/>
  <c r="AJ34" i="6"/>
  <c r="AF35" i="6"/>
  <c r="AG35" i="6"/>
  <c r="AH35" i="6"/>
  <c r="AI35" i="6"/>
  <c r="AJ35" i="6"/>
  <c r="AF36" i="6"/>
  <c r="AG36" i="6"/>
  <c r="AH36" i="6"/>
  <c r="AI36" i="6"/>
  <c r="AJ36" i="6"/>
  <c r="AF37" i="6"/>
  <c r="AG37" i="6"/>
  <c r="AH37" i="6"/>
  <c r="AI37" i="6"/>
  <c r="AJ37" i="6"/>
  <c r="AF38" i="6"/>
  <c r="AG38" i="6"/>
  <c r="AH38" i="6"/>
  <c r="AI38" i="6"/>
  <c r="AJ38" i="6"/>
  <c r="AJ39" i="6"/>
  <c r="AF41" i="6"/>
  <c r="AG41" i="6"/>
  <c r="AH41" i="6"/>
  <c r="AI41" i="6"/>
  <c r="AJ41" i="6"/>
  <c r="AF42" i="6"/>
  <c r="AG42" i="6"/>
  <c r="AH42" i="6"/>
  <c r="AI42" i="6"/>
  <c r="AJ42" i="6"/>
  <c r="AF43" i="6"/>
  <c r="AG43" i="6"/>
  <c r="AH43" i="6"/>
  <c r="AI43" i="6"/>
  <c r="AJ43" i="6"/>
  <c r="AF44" i="6"/>
  <c r="AG44" i="6"/>
  <c r="AH44" i="6"/>
  <c r="AI44" i="6"/>
  <c r="AJ44" i="6"/>
  <c r="AJ46" i="6"/>
  <c r="AF48" i="6"/>
  <c r="AG48" i="6"/>
  <c r="AH48" i="6"/>
  <c r="AI48" i="6"/>
  <c r="AJ48" i="6"/>
  <c r="AF49" i="6"/>
  <c r="AG49" i="6"/>
  <c r="AH49" i="6"/>
  <c r="AI49" i="6"/>
  <c r="AJ49" i="6"/>
  <c r="AF50" i="6"/>
  <c r="AG50" i="6"/>
  <c r="AH50" i="6"/>
  <c r="AI50" i="6"/>
  <c r="AJ50" i="6"/>
  <c r="AF51" i="6"/>
  <c r="AG51" i="6"/>
  <c r="AH51" i="6"/>
  <c r="AI51" i="6"/>
  <c r="AJ51" i="6"/>
  <c r="AF52" i="6"/>
  <c r="AG52" i="6"/>
  <c r="AH52" i="6"/>
  <c r="AI52" i="6"/>
  <c r="AJ52" i="6"/>
  <c r="AF53" i="6"/>
  <c r="AG53" i="6"/>
  <c r="AH53" i="6"/>
  <c r="AI53" i="6"/>
  <c r="AJ53" i="6"/>
  <c r="AF54" i="6"/>
  <c r="AG54" i="6"/>
  <c r="AJ54" i="6"/>
  <c r="AJ55" i="6"/>
  <c r="AF57" i="6"/>
  <c r="AG57" i="6"/>
  <c r="AH57" i="6"/>
  <c r="AI57" i="6"/>
  <c r="AJ57" i="6"/>
  <c r="AF58" i="6"/>
  <c r="AG58" i="6"/>
  <c r="AH58" i="6"/>
  <c r="AI58" i="6"/>
  <c r="AJ58" i="6"/>
  <c r="AF59" i="6"/>
  <c r="AG59" i="6"/>
  <c r="AH59" i="6"/>
  <c r="AI59" i="6"/>
  <c r="AJ59" i="6"/>
  <c r="AJ60" i="6"/>
  <c r="AF62" i="6"/>
  <c r="AG62" i="6"/>
  <c r="AH62" i="6"/>
  <c r="AI62" i="6"/>
  <c r="AJ62" i="6"/>
  <c r="AF63" i="6"/>
  <c r="AG63" i="6"/>
  <c r="AH63" i="6"/>
  <c r="AI63" i="6"/>
  <c r="AJ63" i="6"/>
  <c r="AJ64" i="6"/>
  <c r="AJ66" i="6"/>
  <c r="AJ68" i="6"/>
  <c r="AJ71" i="6"/>
  <c r="AO68" i="6"/>
  <c r="AO71" i="6"/>
  <c r="AP27" i="6"/>
  <c r="AQ27" i="6"/>
  <c r="AR27" i="6"/>
  <c r="AS27" i="6"/>
  <c r="AT27" i="6"/>
  <c r="AP28" i="6"/>
  <c r="AQ28" i="6"/>
  <c r="AR28" i="6"/>
  <c r="AS28" i="6"/>
  <c r="AT28" i="6"/>
  <c r="AP29" i="6"/>
  <c r="AQ29" i="6"/>
  <c r="AR29" i="6"/>
  <c r="AS29" i="6"/>
  <c r="AT29" i="6"/>
  <c r="AP30" i="6"/>
  <c r="AQ30" i="6"/>
  <c r="AR30" i="6"/>
  <c r="AS30" i="6"/>
  <c r="AT30" i="6"/>
  <c r="AT31" i="6"/>
  <c r="AP33" i="6"/>
  <c r="AQ33" i="6"/>
  <c r="AR33" i="6"/>
  <c r="AS33" i="6"/>
  <c r="AT33" i="6"/>
  <c r="AP34" i="6"/>
  <c r="AQ34" i="6"/>
  <c r="AR34" i="6"/>
  <c r="AS34" i="6"/>
  <c r="AT34" i="6"/>
  <c r="AP35" i="6"/>
  <c r="AQ35" i="6"/>
  <c r="AR35" i="6"/>
  <c r="AS35" i="6"/>
  <c r="AT35" i="6"/>
  <c r="AP36" i="6"/>
  <c r="AQ36" i="6"/>
  <c r="AR36" i="6"/>
  <c r="AS36" i="6"/>
  <c r="AT36" i="6"/>
  <c r="AP37" i="6"/>
  <c r="AQ37" i="6"/>
  <c r="AR37" i="6"/>
  <c r="AS37" i="6"/>
  <c r="AT37" i="6"/>
  <c r="AP38" i="6"/>
  <c r="AQ38" i="6"/>
  <c r="AR38" i="6"/>
  <c r="AS38" i="6"/>
  <c r="AT38" i="6"/>
  <c r="AT39" i="6"/>
  <c r="AP41" i="6"/>
  <c r="AQ41" i="6"/>
  <c r="AR41" i="6"/>
  <c r="AS41" i="6"/>
  <c r="AT41" i="6"/>
  <c r="AP42" i="6"/>
  <c r="AQ42" i="6"/>
  <c r="AR42" i="6"/>
  <c r="AS42" i="6"/>
  <c r="AT42" i="6"/>
  <c r="AP43" i="6"/>
  <c r="AQ43" i="6"/>
  <c r="AR43" i="6"/>
  <c r="AS43" i="6"/>
  <c r="AT43" i="6"/>
  <c r="AP44" i="6"/>
  <c r="AQ44" i="6"/>
  <c r="AR44" i="6"/>
  <c r="AS44" i="6"/>
  <c r="AT44" i="6"/>
  <c r="AT46" i="6"/>
  <c r="AP48" i="6"/>
  <c r="AQ48" i="6"/>
  <c r="AR48" i="6"/>
  <c r="AS48" i="6"/>
  <c r="AT48" i="6"/>
  <c r="AP49" i="6"/>
  <c r="AQ49" i="6"/>
  <c r="AR49" i="6"/>
  <c r="AS49" i="6"/>
  <c r="AT49" i="6"/>
  <c r="AP50" i="6"/>
  <c r="AQ50" i="6"/>
  <c r="AR50" i="6"/>
  <c r="AS50" i="6"/>
  <c r="AT50" i="6"/>
  <c r="AP51" i="6"/>
  <c r="AQ51" i="6"/>
  <c r="AR51" i="6"/>
  <c r="AS51" i="6"/>
  <c r="AT51" i="6"/>
  <c r="AP52" i="6"/>
  <c r="AQ52" i="6"/>
  <c r="AR52" i="6"/>
  <c r="AS52" i="6"/>
  <c r="AT52" i="6"/>
  <c r="AP53" i="6"/>
  <c r="AQ53" i="6"/>
  <c r="AR53" i="6"/>
  <c r="AS53" i="6"/>
  <c r="AT53" i="6"/>
  <c r="AP54" i="6"/>
  <c r="AQ54" i="6"/>
  <c r="AT54" i="6"/>
  <c r="AT55" i="6"/>
  <c r="AP57" i="6"/>
  <c r="AQ57" i="6"/>
  <c r="AR57" i="6"/>
  <c r="AS57" i="6"/>
  <c r="AT57" i="6"/>
  <c r="AP58" i="6"/>
  <c r="AQ58" i="6"/>
  <c r="AR58" i="6"/>
  <c r="AS58" i="6"/>
  <c r="AT58" i="6"/>
  <c r="AP59" i="6"/>
  <c r="AQ59" i="6"/>
  <c r="AR59" i="6"/>
  <c r="AS59" i="6"/>
  <c r="AT59" i="6"/>
  <c r="AT60" i="6"/>
  <c r="AP62" i="6"/>
  <c r="AQ62" i="6"/>
  <c r="AR62" i="6"/>
  <c r="AS62" i="6"/>
  <c r="AT62" i="6"/>
  <c r="AP63" i="6"/>
  <c r="AQ63" i="6"/>
  <c r="AR63" i="6"/>
  <c r="AS63" i="6"/>
  <c r="AT63" i="6"/>
  <c r="AT64" i="6"/>
  <c r="AT66" i="6"/>
  <c r="AT68" i="6"/>
  <c r="AT71" i="6"/>
  <c r="Z70" i="6"/>
  <c r="AE70" i="6"/>
  <c r="AJ70" i="6"/>
  <c r="AO70" i="6"/>
  <c r="AT70" i="6"/>
  <c r="AT45" i="6"/>
  <c r="T74" i="1"/>
  <c r="AS31" i="6"/>
  <c r="AS39" i="6"/>
  <c r="AS46" i="6"/>
  <c r="AS55" i="6"/>
  <c r="AS60" i="6"/>
  <c r="AS64" i="6"/>
  <c r="AS66" i="6"/>
  <c r="AR31" i="6"/>
  <c r="AR39" i="6"/>
  <c r="AR46" i="6"/>
  <c r="AR55" i="6"/>
  <c r="AR60" i="6"/>
  <c r="AR64" i="6"/>
  <c r="AR66" i="6"/>
  <c r="AQ31" i="6"/>
  <c r="AQ39" i="6"/>
  <c r="AQ46" i="6"/>
  <c r="AQ55" i="6"/>
  <c r="AQ60" i="6"/>
  <c r="AQ64" i="6"/>
  <c r="AQ66" i="6"/>
  <c r="AP31" i="6"/>
  <c r="AP39" i="6"/>
  <c r="AP46" i="6"/>
  <c r="AP55" i="6"/>
  <c r="AP60" i="6"/>
  <c r="AP64" i="6"/>
  <c r="AP66" i="6"/>
  <c r="AT32" i="6"/>
  <c r="AT40" i="6"/>
  <c r="AT47" i="6"/>
  <c r="AT56" i="6"/>
  <c r="AT61" i="6"/>
  <c r="AQ5" i="6"/>
  <c r="T69" i="1"/>
  <c r="S69" i="1"/>
  <c r="T66" i="1"/>
  <c r="Q66" i="1"/>
  <c r="N66" i="1"/>
  <c r="K66" i="1"/>
  <c r="H66" i="1"/>
  <c r="E66" i="1"/>
  <c r="T63" i="1"/>
  <c r="Q63" i="1"/>
  <c r="N63" i="1"/>
  <c r="K63" i="1"/>
  <c r="H63" i="1"/>
  <c r="E63" i="1"/>
  <c r="T60" i="1"/>
  <c r="S60" i="1"/>
  <c r="S58" i="1"/>
  <c r="S54" i="1"/>
  <c r="T54" i="1"/>
  <c r="U54" i="1"/>
  <c r="S55" i="1"/>
  <c r="T55" i="1"/>
  <c r="U55" i="1"/>
  <c r="S56" i="1"/>
  <c r="T56" i="1"/>
  <c r="U56" i="1"/>
  <c r="S57" i="1"/>
  <c r="T57" i="1"/>
  <c r="U57" i="1"/>
  <c r="T58" i="1"/>
  <c r="U58" i="1"/>
  <c r="T53" i="1"/>
  <c r="U53" i="1"/>
  <c r="S53" i="1"/>
  <c r="T51" i="1"/>
  <c r="S51" i="1"/>
  <c r="S49" i="1"/>
  <c r="S45" i="1"/>
  <c r="T45" i="1"/>
  <c r="U45" i="1"/>
  <c r="S46" i="1"/>
  <c r="T46" i="1"/>
  <c r="U46" i="1"/>
  <c r="S47" i="1"/>
  <c r="T47" i="1"/>
  <c r="U47" i="1"/>
  <c r="S48" i="1"/>
  <c r="T48" i="1"/>
  <c r="U48" i="1"/>
  <c r="T49" i="1"/>
  <c r="U49" i="1"/>
  <c r="U44" i="1"/>
  <c r="T44" i="1"/>
  <c r="S44" i="1"/>
  <c r="T42" i="1"/>
  <c r="S42" i="1"/>
  <c r="T37" i="1"/>
  <c r="T38" i="1"/>
  <c r="T39" i="1"/>
  <c r="T40" i="1"/>
  <c r="S40" i="1"/>
  <c r="S38" i="1"/>
  <c r="S39" i="1"/>
  <c r="S37" i="1"/>
  <c r="U38" i="1"/>
  <c r="U39" i="1"/>
  <c r="U40" i="1"/>
  <c r="U37" i="1"/>
  <c r="U36" i="1"/>
  <c r="T36" i="1"/>
  <c r="S36" i="1"/>
  <c r="G36" i="1"/>
  <c r="T33" i="1"/>
  <c r="S33" i="1"/>
  <c r="T30" i="1"/>
  <c r="S30" i="1"/>
  <c r="G26" i="1"/>
  <c r="J27" i="1"/>
  <c r="K27" i="1"/>
  <c r="T28" i="1"/>
  <c r="M27" i="1"/>
  <c r="P27" i="1"/>
  <c r="S27" i="1"/>
  <c r="T27" i="1"/>
  <c r="T31" i="1"/>
  <c r="Q30" i="1"/>
  <c r="S31" i="1"/>
  <c r="U27" i="1"/>
  <c r="S28" i="1"/>
  <c r="U28" i="1"/>
  <c r="S29" i="1"/>
  <c r="T29" i="1"/>
  <c r="U29" i="1"/>
  <c r="U30" i="1"/>
  <c r="U31" i="1"/>
  <c r="U26" i="1"/>
  <c r="J26" i="1"/>
  <c r="M26" i="1"/>
  <c r="P26" i="1"/>
  <c r="S26" i="1"/>
  <c r="T26" i="1"/>
  <c r="T24" i="1"/>
  <c r="S24" i="1"/>
  <c r="S22" i="1"/>
  <c r="T18" i="1"/>
  <c r="T19" i="1"/>
  <c r="T20" i="1"/>
  <c r="T21" i="1"/>
  <c r="T22" i="1"/>
  <c r="T17" i="1"/>
  <c r="S17" i="1"/>
  <c r="S18" i="1"/>
  <c r="S19" i="1"/>
  <c r="S20" i="1"/>
  <c r="S21" i="1"/>
  <c r="U22" i="1"/>
  <c r="U21" i="1"/>
  <c r="U20" i="1"/>
  <c r="U19" i="1"/>
  <c r="U18" i="1"/>
  <c r="U17" i="1"/>
  <c r="U16" i="1"/>
  <c r="T16" i="1"/>
  <c r="S16" i="1"/>
  <c r="T14" i="1"/>
  <c r="S14" i="1"/>
  <c r="T12" i="1"/>
  <c r="S12" i="1"/>
  <c r="P11" i="1"/>
  <c r="S11" i="1"/>
  <c r="U12" i="1"/>
  <c r="U7" i="1"/>
  <c r="T8" i="1"/>
  <c r="T9" i="1"/>
  <c r="T10" i="1"/>
  <c r="T11" i="1"/>
  <c r="T7" i="1"/>
  <c r="U11" i="1"/>
  <c r="U10" i="1"/>
  <c r="S10" i="1"/>
  <c r="U9" i="1"/>
  <c r="S9" i="1"/>
  <c r="U8" i="1"/>
  <c r="S8" i="1"/>
  <c r="S7" i="1"/>
  <c r="C22" i="5"/>
  <c r="G22" i="5"/>
  <c r="F22" i="5"/>
  <c r="E22" i="5"/>
  <c r="C28" i="5"/>
  <c r="G28" i="5"/>
  <c r="F28" i="5"/>
  <c r="E28" i="5"/>
  <c r="C30" i="5"/>
  <c r="G30" i="5"/>
  <c r="F30" i="5"/>
  <c r="E30" i="5"/>
  <c r="C29" i="5"/>
  <c r="I29" i="5"/>
  <c r="G29" i="5"/>
  <c r="F29" i="5"/>
  <c r="E29" i="5"/>
  <c r="C36" i="5"/>
  <c r="K36" i="5"/>
  <c r="J36" i="5"/>
  <c r="C37" i="5"/>
  <c r="I37" i="5"/>
  <c r="G37" i="5"/>
  <c r="F37" i="5"/>
  <c r="E37" i="5"/>
  <c r="C38" i="5"/>
  <c r="J38" i="5"/>
  <c r="I38" i="5"/>
  <c r="C53" i="5"/>
  <c r="K53" i="5"/>
  <c r="J53" i="5"/>
  <c r="I53" i="5"/>
  <c r="G53" i="5"/>
  <c r="F53" i="5"/>
  <c r="E53" i="5"/>
  <c r="C52" i="5"/>
  <c r="K52" i="5"/>
  <c r="J52" i="5"/>
  <c r="I52" i="5"/>
  <c r="G52" i="5"/>
  <c r="F52" i="5"/>
  <c r="E52" i="5"/>
  <c r="I36" i="5"/>
  <c r="G36" i="5"/>
  <c r="D49" i="4"/>
  <c r="J29" i="5"/>
  <c r="F36" i="5"/>
  <c r="E36" i="5"/>
  <c r="G38" i="5"/>
  <c r="F38" i="5"/>
  <c r="E38" i="5"/>
  <c r="H53" i="5"/>
  <c r="D36" i="4"/>
  <c r="B21" i="7"/>
  <c r="B11" i="7"/>
  <c r="W5" i="6"/>
  <c r="D64" i="4"/>
  <c r="D63" i="4"/>
  <c r="D62" i="4"/>
  <c r="B59" i="4"/>
  <c r="D59" i="4"/>
  <c r="D54" i="4"/>
  <c r="D53" i="4"/>
  <c r="F7" i="1"/>
  <c r="I8" i="1"/>
  <c r="L9" i="1"/>
  <c r="D5" i="6"/>
  <c r="D26" i="1"/>
  <c r="E74" i="1"/>
  <c r="U45" i="6"/>
  <c r="G8" i="1"/>
  <c r="J8" i="1"/>
  <c r="I7" i="1"/>
  <c r="L8" i="1"/>
  <c r="M8" i="1"/>
  <c r="D7" i="1"/>
  <c r="G7" i="1"/>
  <c r="J7" i="1"/>
  <c r="L7" i="1"/>
  <c r="M7" i="1"/>
  <c r="N7" i="1"/>
  <c r="J9" i="1"/>
  <c r="M9" i="1"/>
  <c r="N8" i="1"/>
  <c r="M10" i="1"/>
  <c r="N9" i="1"/>
  <c r="N10" i="1"/>
  <c r="N14" i="1"/>
  <c r="AO9" i="6"/>
  <c r="D16" i="1"/>
  <c r="F16" i="1"/>
  <c r="G16" i="1"/>
  <c r="B16" i="1"/>
  <c r="G18" i="1"/>
  <c r="F17" i="1"/>
  <c r="I18" i="1"/>
  <c r="J18" i="1"/>
  <c r="I17" i="1"/>
  <c r="L18" i="1"/>
  <c r="M18" i="1"/>
  <c r="D17" i="1"/>
  <c r="G17" i="1"/>
  <c r="J17" i="1"/>
  <c r="I16" i="1"/>
  <c r="L17" i="1"/>
  <c r="M17" i="1"/>
  <c r="N17" i="1"/>
  <c r="J16" i="1"/>
  <c r="J19" i="1"/>
  <c r="L19" i="1"/>
  <c r="M19" i="1"/>
  <c r="N18" i="1"/>
  <c r="L16" i="1"/>
  <c r="M16" i="1"/>
  <c r="M20" i="1"/>
  <c r="N19" i="1"/>
  <c r="N20" i="1"/>
  <c r="N24" i="1"/>
  <c r="AO10" i="6"/>
  <c r="F26" i="1"/>
  <c r="I26" i="1"/>
  <c r="L26" i="1"/>
  <c r="N26" i="1"/>
  <c r="I27" i="1"/>
  <c r="G27" i="1"/>
  <c r="L27" i="1"/>
  <c r="N27" i="1"/>
  <c r="L28" i="1"/>
  <c r="J28" i="1"/>
  <c r="M28" i="1"/>
  <c r="N28" i="1"/>
  <c r="N29" i="1"/>
  <c r="N33" i="1"/>
  <c r="AO11" i="6"/>
  <c r="F36" i="1"/>
  <c r="B34" i="1"/>
  <c r="I36" i="1"/>
  <c r="J36" i="1"/>
  <c r="L36" i="1"/>
  <c r="M36" i="1"/>
  <c r="N36" i="1"/>
  <c r="I37" i="1"/>
  <c r="J37" i="1"/>
  <c r="L37" i="1"/>
  <c r="M37" i="1"/>
  <c r="N37" i="1"/>
  <c r="M38" i="1"/>
  <c r="N38" i="1"/>
  <c r="N42" i="1"/>
  <c r="AO12" i="6"/>
  <c r="D44" i="1"/>
  <c r="F44" i="1"/>
  <c r="G44" i="1"/>
  <c r="I44" i="1"/>
  <c r="J44" i="1"/>
  <c r="L44" i="1"/>
  <c r="M44" i="1"/>
  <c r="N44" i="1"/>
  <c r="G45" i="1"/>
  <c r="I45" i="1"/>
  <c r="J45" i="1"/>
  <c r="L45" i="1"/>
  <c r="M45" i="1"/>
  <c r="N45" i="1"/>
  <c r="J46" i="1"/>
  <c r="L46" i="1"/>
  <c r="M46" i="1"/>
  <c r="N46" i="1"/>
  <c r="M47" i="1"/>
  <c r="N47" i="1"/>
  <c r="N51" i="1"/>
  <c r="AO15" i="6"/>
  <c r="D53" i="1"/>
  <c r="F53" i="1"/>
  <c r="G53" i="1"/>
  <c r="I53" i="1"/>
  <c r="J53" i="1"/>
  <c r="L53" i="1"/>
  <c r="M53" i="1"/>
  <c r="N53" i="1"/>
  <c r="G54" i="1"/>
  <c r="I54" i="1"/>
  <c r="J54" i="1"/>
  <c r="L54" i="1"/>
  <c r="M54" i="1"/>
  <c r="N54" i="1"/>
  <c r="J55" i="1"/>
  <c r="L55" i="1"/>
  <c r="M55" i="1"/>
  <c r="N55" i="1"/>
  <c r="M56" i="1"/>
  <c r="N56" i="1"/>
  <c r="N60" i="1"/>
  <c r="AO16" i="6"/>
  <c r="M42" i="1"/>
  <c r="M29" i="1"/>
  <c r="M33" i="1"/>
  <c r="M14" i="1"/>
  <c r="M24" i="1"/>
  <c r="M51" i="1"/>
  <c r="AO18" i="6"/>
  <c r="AO19" i="6"/>
  <c r="O8" i="1"/>
  <c r="P8" i="1"/>
  <c r="O7" i="1"/>
  <c r="P7" i="1"/>
  <c r="Q7" i="1"/>
  <c r="O9" i="1"/>
  <c r="P9" i="1"/>
  <c r="Q8" i="1"/>
  <c r="O10" i="1"/>
  <c r="P10" i="1"/>
  <c r="Q9" i="1"/>
  <c r="Q10" i="1"/>
  <c r="Q11" i="1"/>
  <c r="Q14" i="1"/>
  <c r="AT9" i="6"/>
  <c r="O16" i="1"/>
  <c r="P16" i="1"/>
  <c r="Q16" i="1"/>
  <c r="O18" i="1"/>
  <c r="P18" i="1"/>
  <c r="O17" i="1"/>
  <c r="P17" i="1"/>
  <c r="Q17" i="1"/>
  <c r="O19" i="1"/>
  <c r="P19" i="1"/>
  <c r="Q18" i="1"/>
  <c r="O20" i="1"/>
  <c r="P20" i="1"/>
  <c r="Q19" i="1"/>
  <c r="P21" i="1"/>
  <c r="Q20" i="1"/>
  <c r="Q21" i="1"/>
  <c r="Q24" i="1"/>
  <c r="AT10" i="6"/>
  <c r="O26" i="1"/>
  <c r="Q26" i="1"/>
  <c r="O27" i="1"/>
  <c r="Q27" i="1"/>
  <c r="O28" i="1"/>
  <c r="P28" i="1"/>
  <c r="Q28" i="1"/>
  <c r="O29" i="1"/>
  <c r="P29" i="1"/>
  <c r="Q29" i="1"/>
  <c r="Q33" i="1"/>
  <c r="AT11" i="6"/>
  <c r="O36" i="1"/>
  <c r="P36" i="1"/>
  <c r="Q36" i="1"/>
  <c r="O37" i="1"/>
  <c r="P37" i="1"/>
  <c r="Q37" i="1"/>
  <c r="O38" i="1"/>
  <c r="P38" i="1"/>
  <c r="Q38" i="1"/>
  <c r="P39" i="1"/>
  <c r="Q39" i="1"/>
  <c r="Q42" i="1"/>
  <c r="AT12" i="6"/>
  <c r="O44" i="1"/>
  <c r="P44" i="1"/>
  <c r="Q44" i="1"/>
  <c r="O45" i="1"/>
  <c r="P45" i="1"/>
  <c r="Q45" i="1"/>
  <c r="O46" i="1"/>
  <c r="P46" i="1"/>
  <c r="Q46" i="1"/>
  <c r="O47" i="1"/>
  <c r="P47" i="1"/>
  <c r="Q47" i="1"/>
  <c r="P48" i="1"/>
  <c r="Q48" i="1"/>
  <c r="Q51" i="1"/>
  <c r="AT15" i="6"/>
  <c r="O53" i="1"/>
  <c r="P53" i="1"/>
  <c r="Q53" i="1"/>
  <c r="O54" i="1"/>
  <c r="P54" i="1"/>
  <c r="Q54" i="1"/>
  <c r="O55" i="1"/>
  <c r="P55" i="1"/>
  <c r="Q55" i="1"/>
  <c r="O56" i="1"/>
  <c r="P56" i="1"/>
  <c r="Q56" i="1"/>
  <c r="P57" i="1"/>
  <c r="Q57" i="1"/>
  <c r="Q60" i="1"/>
  <c r="AT16" i="6"/>
  <c r="P42" i="1"/>
  <c r="P30" i="1"/>
  <c r="P33" i="1"/>
  <c r="P14" i="1"/>
  <c r="P24" i="1"/>
  <c r="P51" i="1"/>
  <c r="AT18" i="6"/>
  <c r="AT19" i="6"/>
  <c r="AB5" i="6"/>
  <c r="AG5" i="6"/>
  <c r="AL5" i="6"/>
  <c r="Q74" i="1"/>
  <c r="AO45" i="6"/>
  <c r="B19" i="7"/>
  <c r="B24" i="7"/>
  <c r="AO77" i="6"/>
  <c r="B28" i="7"/>
  <c r="H28" i="7"/>
  <c r="H24" i="7"/>
  <c r="H25" i="7"/>
  <c r="G28" i="7"/>
  <c r="G24" i="7"/>
  <c r="G25" i="7"/>
  <c r="F28" i="7"/>
  <c r="F24" i="7"/>
  <c r="F25" i="7"/>
  <c r="E28" i="7"/>
  <c r="E24" i="7"/>
  <c r="E25" i="7"/>
  <c r="D28" i="7"/>
  <c r="D24" i="7"/>
  <c r="D25" i="7"/>
  <c r="H21" i="7"/>
  <c r="H22" i="7"/>
  <c r="G21" i="7"/>
  <c r="G22" i="7"/>
  <c r="F21" i="7"/>
  <c r="F22" i="7"/>
  <c r="E21" i="7"/>
  <c r="E22" i="7"/>
  <c r="D21" i="7"/>
  <c r="D22" i="7"/>
  <c r="H19" i="7"/>
  <c r="G19" i="7"/>
  <c r="F19" i="7"/>
  <c r="E19" i="7"/>
  <c r="D19" i="7"/>
  <c r="D75" i="6"/>
  <c r="E7" i="1"/>
  <c r="E14" i="1"/>
  <c r="Z9" i="6"/>
  <c r="E17" i="1"/>
  <c r="E24" i="1"/>
  <c r="Z10" i="6"/>
  <c r="E26" i="1"/>
  <c r="E33" i="1"/>
  <c r="Z11" i="6"/>
  <c r="E42" i="1"/>
  <c r="Z12" i="6"/>
  <c r="E44" i="1"/>
  <c r="E51" i="1"/>
  <c r="Z15" i="6"/>
  <c r="E53" i="1"/>
  <c r="E60" i="1"/>
  <c r="Z16" i="6"/>
  <c r="D14" i="1"/>
  <c r="D24" i="1"/>
  <c r="D42" i="1"/>
  <c r="D51" i="1"/>
  <c r="D33" i="1"/>
  <c r="Z18" i="6"/>
  <c r="Z19" i="6"/>
  <c r="U73" i="6"/>
  <c r="U74" i="6"/>
  <c r="U75" i="6"/>
  <c r="H7" i="1"/>
  <c r="H8" i="1"/>
  <c r="H14" i="1"/>
  <c r="AE9" i="6"/>
  <c r="H17" i="1"/>
  <c r="H18" i="1"/>
  <c r="H24" i="1"/>
  <c r="AE10" i="6"/>
  <c r="H26" i="1"/>
  <c r="H27" i="1"/>
  <c r="H33" i="1"/>
  <c r="AE11" i="6"/>
  <c r="H36" i="1"/>
  <c r="H42" i="1"/>
  <c r="AE12" i="6"/>
  <c r="H44" i="1"/>
  <c r="H45" i="1"/>
  <c r="H51" i="1"/>
  <c r="AE15" i="6"/>
  <c r="H53" i="1"/>
  <c r="H54" i="1"/>
  <c r="H60" i="1"/>
  <c r="AE16" i="6"/>
  <c r="G42" i="1"/>
  <c r="G33" i="1"/>
  <c r="G14" i="1"/>
  <c r="G24" i="1"/>
  <c r="G51" i="1"/>
  <c r="AE18" i="6"/>
  <c r="AE19" i="6"/>
  <c r="H74" i="1"/>
  <c r="Z45" i="6"/>
  <c r="Z73" i="6"/>
  <c r="Z74" i="6"/>
  <c r="K7" i="1"/>
  <c r="K8" i="1"/>
  <c r="K9" i="1"/>
  <c r="K14" i="1"/>
  <c r="AJ9" i="6"/>
  <c r="K17" i="1"/>
  <c r="K18" i="1"/>
  <c r="K19" i="1"/>
  <c r="K24" i="1"/>
  <c r="AJ10" i="6"/>
  <c r="K26" i="1"/>
  <c r="K28" i="1"/>
  <c r="K33" i="1"/>
  <c r="AJ11" i="6"/>
  <c r="K36" i="1"/>
  <c r="K37" i="1"/>
  <c r="K42" i="1"/>
  <c r="AJ12" i="6"/>
  <c r="K44" i="1"/>
  <c r="K45" i="1"/>
  <c r="K46" i="1"/>
  <c r="K51" i="1"/>
  <c r="AJ15" i="6"/>
  <c r="K53" i="1"/>
  <c r="K54" i="1"/>
  <c r="K55" i="1"/>
  <c r="K60" i="1"/>
  <c r="AJ16" i="6"/>
  <c r="J42" i="1"/>
  <c r="J33" i="1"/>
  <c r="J14" i="1"/>
  <c r="J24" i="1"/>
  <c r="J51" i="1"/>
  <c r="AJ18" i="6"/>
  <c r="AJ19" i="6"/>
  <c r="K74" i="1"/>
  <c r="AE45" i="6"/>
  <c r="AE73" i="6"/>
  <c r="AE74" i="6"/>
  <c r="AA15" i="6"/>
  <c r="AA18" i="6"/>
  <c r="AA23" i="6"/>
  <c r="AF15" i="6"/>
  <c r="AF18" i="6"/>
  <c r="AF23" i="6"/>
  <c r="AA31" i="6"/>
  <c r="AA39" i="6"/>
  <c r="AA46" i="6"/>
  <c r="AA55" i="6"/>
  <c r="AA60" i="6"/>
  <c r="AA64" i="6"/>
  <c r="AA66" i="6"/>
  <c r="AA73" i="6"/>
  <c r="AB15" i="6"/>
  <c r="AB18" i="6"/>
  <c r="AB23" i="6"/>
  <c r="AG15" i="6"/>
  <c r="AG18" i="6"/>
  <c r="AG23" i="6"/>
  <c r="AB31" i="6"/>
  <c r="AB39" i="6"/>
  <c r="AB46" i="6"/>
  <c r="AB55" i="6"/>
  <c r="AB60" i="6"/>
  <c r="AB64" i="6"/>
  <c r="AB66" i="6"/>
  <c r="AB73" i="6"/>
  <c r="AC15" i="6"/>
  <c r="AC18" i="6"/>
  <c r="AC23" i="6"/>
  <c r="AH15" i="6"/>
  <c r="AH18" i="6"/>
  <c r="AH23" i="6"/>
  <c r="AC31" i="6"/>
  <c r="AC39" i="6"/>
  <c r="AC46" i="6"/>
  <c r="AC55" i="6"/>
  <c r="AC60" i="6"/>
  <c r="AC64" i="6"/>
  <c r="AC66" i="6"/>
  <c r="AC73" i="6"/>
  <c r="AD15" i="6"/>
  <c r="AD18" i="6"/>
  <c r="AD23" i="6"/>
  <c r="AI15" i="6"/>
  <c r="AI18" i="6"/>
  <c r="AI23" i="6"/>
  <c r="AD31" i="6"/>
  <c r="AD39" i="6"/>
  <c r="AD46" i="6"/>
  <c r="AD55" i="6"/>
  <c r="AD60" i="6"/>
  <c r="AD64" i="6"/>
  <c r="AD66" i="6"/>
  <c r="AD73" i="6"/>
  <c r="AK15" i="6"/>
  <c r="AK18" i="6"/>
  <c r="AK23" i="6"/>
  <c r="AF31" i="6"/>
  <c r="AF39" i="6"/>
  <c r="AF46" i="6"/>
  <c r="AF55" i="6"/>
  <c r="AF60" i="6"/>
  <c r="AF64" i="6"/>
  <c r="AF66" i="6"/>
  <c r="AF73" i="6"/>
  <c r="AL15" i="6"/>
  <c r="AL18" i="6"/>
  <c r="AL23" i="6"/>
  <c r="AG31" i="6"/>
  <c r="AG39" i="6"/>
  <c r="AG46" i="6"/>
  <c r="AG55" i="6"/>
  <c r="AG60" i="6"/>
  <c r="AG64" i="6"/>
  <c r="AG66" i="6"/>
  <c r="AG73" i="6"/>
  <c r="AM15" i="6"/>
  <c r="AM18" i="6"/>
  <c r="AM23" i="6"/>
  <c r="AH31" i="6"/>
  <c r="AH39" i="6"/>
  <c r="AH46" i="6"/>
  <c r="AH55" i="6"/>
  <c r="AH60" i="6"/>
  <c r="AH64" i="6"/>
  <c r="AH66" i="6"/>
  <c r="AH73" i="6"/>
  <c r="AN15" i="6"/>
  <c r="AN18" i="6"/>
  <c r="AN23" i="6"/>
  <c r="AI31" i="6"/>
  <c r="AI39" i="6"/>
  <c r="AI46" i="6"/>
  <c r="AI55" i="6"/>
  <c r="AI60" i="6"/>
  <c r="AI64" i="6"/>
  <c r="AI66" i="6"/>
  <c r="AI73" i="6"/>
  <c r="N74" i="1"/>
  <c r="AJ45" i="6"/>
  <c r="AJ73" i="6"/>
  <c r="AP15" i="6"/>
  <c r="AP18" i="6"/>
  <c r="AP23" i="6"/>
  <c r="AK31" i="6"/>
  <c r="AK39" i="6"/>
  <c r="AK46" i="6"/>
  <c r="AK55" i="6"/>
  <c r="AK60" i="6"/>
  <c r="AK64" i="6"/>
  <c r="AK66" i="6"/>
  <c r="AK73" i="6"/>
  <c r="AQ15" i="6"/>
  <c r="AQ18" i="6"/>
  <c r="AQ23" i="6"/>
  <c r="AL31" i="6"/>
  <c r="AL39" i="6"/>
  <c r="AL46" i="6"/>
  <c r="AL55" i="6"/>
  <c r="AL60" i="6"/>
  <c r="AL64" i="6"/>
  <c r="AL66" i="6"/>
  <c r="AL73" i="6"/>
  <c r="AR15" i="6"/>
  <c r="AR18" i="6"/>
  <c r="AR23" i="6"/>
  <c r="AM31" i="6"/>
  <c r="AM39" i="6"/>
  <c r="AM46" i="6"/>
  <c r="AM55" i="6"/>
  <c r="AM60" i="6"/>
  <c r="AM64" i="6"/>
  <c r="AM66" i="6"/>
  <c r="AM73" i="6"/>
  <c r="AS15" i="6"/>
  <c r="AS18" i="6"/>
  <c r="AS23" i="6"/>
  <c r="AN31" i="6"/>
  <c r="AN39" i="6"/>
  <c r="AN46" i="6"/>
  <c r="AN55" i="6"/>
  <c r="AN60" i="6"/>
  <c r="AN64" i="6"/>
  <c r="AN66" i="6"/>
  <c r="AN73" i="6"/>
  <c r="D79" i="6"/>
  <c r="D71" i="6"/>
  <c r="D3" i="6"/>
  <c r="Z75" i="6"/>
  <c r="AE75" i="6"/>
  <c r="AJ75" i="6"/>
  <c r="AO75" i="6"/>
  <c r="AD71" i="6"/>
  <c r="AD75" i="6"/>
  <c r="AI71" i="6"/>
  <c r="AI75" i="6"/>
  <c r="AN71" i="6"/>
  <c r="AN75" i="6"/>
  <c r="L15" i="6"/>
  <c r="L18" i="6"/>
  <c r="L23" i="6"/>
  <c r="AC71" i="6"/>
  <c r="AC75" i="6"/>
  <c r="AH71" i="6"/>
  <c r="AH75" i="6"/>
  <c r="AM71" i="6"/>
  <c r="AM75" i="6"/>
  <c r="AB71" i="6"/>
  <c r="AB75" i="6"/>
  <c r="P15" i="6"/>
  <c r="P18" i="6"/>
  <c r="P23" i="6"/>
  <c r="AG71" i="6"/>
  <c r="AG75" i="6"/>
  <c r="AL71" i="6"/>
  <c r="AL75" i="6"/>
  <c r="AA71" i="6"/>
  <c r="AA75" i="6"/>
  <c r="AF71" i="6"/>
  <c r="AF75" i="6"/>
  <c r="T15" i="6"/>
  <c r="T18" i="6"/>
  <c r="T23" i="6"/>
  <c r="AK71" i="6"/>
  <c r="AK75" i="6"/>
  <c r="AJ74" i="6"/>
  <c r="AO74" i="6"/>
  <c r="AI74" i="6"/>
  <c r="AN74" i="6"/>
  <c r="AH74" i="6"/>
  <c r="AM74" i="6"/>
  <c r="AG74" i="6"/>
  <c r="AL74" i="6"/>
  <c r="AF74" i="6"/>
  <c r="AK74" i="6"/>
  <c r="Y73" i="6"/>
  <c r="X73" i="6"/>
  <c r="W73" i="6"/>
  <c r="V73" i="6"/>
  <c r="B33" i="7"/>
  <c r="H33" i="7"/>
  <c r="H34" i="7"/>
  <c r="G33" i="7"/>
  <c r="G34" i="7"/>
  <c r="F33" i="7"/>
  <c r="F34" i="7"/>
  <c r="E33" i="7"/>
  <c r="E34" i="7"/>
  <c r="D33" i="7"/>
  <c r="D34" i="7"/>
  <c r="B30" i="7"/>
  <c r="H30" i="7"/>
  <c r="H31" i="7"/>
  <c r="G30" i="7"/>
  <c r="G31" i="7"/>
  <c r="F30" i="7"/>
  <c r="F31" i="7"/>
  <c r="E30" i="7"/>
  <c r="E31" i="7"/>
  <c r="D30" i="7"/>
  <c r="D31" i="7"/>
  <c r="B9" i="7"/>
  <c r="E9" i="7"/>
  <c r="B14" i="7"/>
  <c r="E14" i="7"/>
  <c r="E15" i="7"/>
  <c r="F9" i="7"/>
  <c r="F14" i="7"/>
  <c r="F15" i="7"/>
  <c r="G9" i="7"/>
  <c r="G14" i="7"/>
  <c r="G15" i="7"/>
  <c r="H9" i="7"/>
  <c r="H14" i="7"/>
  <c r="H15" i="7"/>
  <c r="D9" i="7"/>
  <c r="D14" i="7"/>
  <c r="D15" i="7"/>
  <c r="E11" i="7"/>
  <c r="E12" i="7"/>
  <c r="F11" i="7"/>
  <c r="F12" i="7"/>
  <c r="G11" i="7"/>
  <c r="G12" i="7"/>
  <c r="H11" i="7"/>
  <c r="H12" i="7"/>
  <c r="D11" i="7"/>
  <c r="D12" i="7"/>
  <c r="AO40" i="5"/>
  <c r="AJ40" i="5"/>
  <c r="AE40" i="5"/>
  <c r="Z40" i="5"/>
  <c r="U40" i="5"/>
  <c r="W2" i="5"/>
  <c r="AB2" i="5"/>
  <c r="AG2" i="5"/>
  <c r="AL2" i="5"/>
  <c r="AK22" i="5"/>
  <c r="AL22" i="5"/>
  <c r="AM22" i="5"/>
  <c r="AN22" i="5"/>
  <c r="AO22" i="5"/>
  <c r="C23" i="5"/>
  <c r="AK23" i="5"/>
  <c r="AL23" i="5"/>
  <c r="AM23" i="5"/>
  <c r="AN23" i="5"/>
  <c r="AO23" i="5"/>
  <c r="C24" i="5"/>
  <c r="AK24" i="5"/>
  <c r="AL24" i="5"/>
  <c r="AM24" i="5"/>
  <c r="AN24" i="5"/>
  <c r="AO24" i="5"/>
  <c r="C25" i="5"/>
  <c r="AK25" i="5"/>
  <c r="AL25" i="5"/>
  <c r="AM25" i="5"/>
  <c r="AN25" i="5"/>
  <c r="AO25" i="5"/>
  <c r="AO26" i="5"/>
  <c r="AL26" i="5"/>
  <c r="AM26" i="5"/>
  <c r="AN26" i="5"/>
  <c r="AK26" i="5"/>
  <c r="AF22" i="5"/>
  <c r="AG22" i="5"/>
  <c r="AH22" i="5"/>
  <c r="AI22" i="5"/>
  <c r="AJ22" i="5"/>
  <c r="AF23" i="5"/>
  <c r="AG23" i="5"/>
  <c r="AH23" i="5"/>
  <c r="AI23" i="5"/>
  <c r="AJ23" i="5"/>
  <c r="AF24" i="5"/>
  <c r="AG24" i="5"/>
  <c r="AH24" i="5"/>
  <c r="AI24" i="5"/>
  <c r="AJ24" i="5"/>
  <c r="AF25" i="5"/>
  <c r="AG25" i="5"/>
  <c r="AH25" i="5"/>
  <c r="AI25" i="5"/>
  <c r="AJ25" i="5"/>
  <c r="AJ26" i="5"/>
  <c r="AG26" i="5"/>
  <c r="AH26" i="5"/>
  <c r="AI26" i="5"/>
  <c r="AF26" i="5"/>
  <c r="AA22" i="5"/>
  <c r="AB22" i="5"/>
  <c r="AC22" i="5"/>
  <c r="AD22" i="5"/>
  <c r="AE22" i="5"/>
  <c r="AA23" i="5"/>
  <c r="AB23" i="5"/>
  <c r="AC23" i="5"/>
  <c r="AD23" i="5"/>
  <c r="AE23" i="5"/>
  <c r="AA24" i="5"/>
  <c r="AB24" i="5"/>
  <c r="AC24" i="5"/>
  <c r="AD24" i="5"/>
  <c r="AE24" i="5"/>
  <c r="AA25" i="5"/>
  <c r="AB25" i="5"/>
  <c r="AC25" i="5"/>
  <c r="AD25" i="5"/>
  <c r="AE25" i="5"/>
  <c r="AE26" i="5"/>
  <c r="AB26" i="5"/>
  <c r="AC26" i="5"/>
  <c r="AD26" i="5"/>
  <c r="AA26" i="5"/>
  <c r="V22" i="5"/>
  <c r="W22" i="5"/>
  <c r="X22" i="5"/>
  <c r="Y22" i="5"/>
  <c r="Z22" i="5"/>
  <c r="V23" i="5"/>
  <c r="W23" i="5"/>
  <c r="X23" i="5"/>
  <c r="Y23" i="5"/>
  <c r="Z23" i="5"/>
  <c r="V24" i="5"/>
  <c r="W24" i="5"/>
  <c r="X24" i="5"/>
  <c r="Y24" i="5"/>
  <c r="Z24" i="5"/>
  <c r="V25" i="5"/>
  <c r="W25" i="5"/>
  <c r="X25" i="5"/>
  <c r="Y25" i="5"/>
  <c r="Z25" i="5"/>
  <c r="Z26" i="5"/>
  <c r="W26" i="5"/>
  <c r="X26" i="5"/>
  <c r="Y26" i="5"/>
  <c r="V26" i="5"/>
  <c r="I22" i="5"/>
  <c r="J22" i="5"/>
  <c r="K22" i="5"/>
  <c r="M22" i="5"/>
  <c r="N22" i="5"/>
  <c r="O22" i="5"/>
  <c r="Q22" i="5"/>
  <c r="R22" i="5"/>
  <c r="S22" i="5"/>
  <c r="U22" i="5"/>
  <c r="E23" i="5"/>
  <c r="F23" i="5"/>
  <c r="G23" i="5"/>
  <c r="I23" i="5"/>
  <c r="J23" i="5"/>
  <c r="K23" i="5"/>
  <c r="M23" i="5"/>
  <c r="N23" i="5"/>
  <c r="O23" i="5"/>
  <c r="Q23" i="5"/>
  <c r="R23" i="5"/>
  <c r="S23" i="5"/>
  <c r="U23" i="5"/>
  <c r="E24" i="5"/>
  <c r="F24" i="5"/>
  <c r="G24" i="5"/>
  <c r="I24" i="5"/>
  <c r="J24" i="5"/>
  <c r="K24" i="5"/>
  <c r="M24" i="5"/>
  <c r="N24" i="5"/>
  <c r="O24" i="5"/>
  <c r="Q24" i="5"/>
  <c r="R24" i="5"/>
  <c r="S24" i="5"/>
  <c r="U24" i="5"/>
  <c r="E25" i="5"/>
  <c r="F25" i="5"/>
  <c r="G25" i="5"/>
  <c r="I25" i="5"/>
  <c r="J25" i="5"/>
  <c r="K25" i="5"/>
  <c r="M25" i="5"/>
  <c r="N25" i="5"/>
  <c r="O25" i="5"/>
  <c r="Q25" i="5"/>
  <c r="R25" i="5"/>
  <c r="S25" i="5"/>
  <c r="U25" i="5"/>
  <c r="U26" i="5"/>
  <c r="T25" i="5"/>
  <c r="P25" i="5"/>
  <c r="L25" i="5"/>
  <c r="H25" i="5"/>
  <c r="C58" i="5"/>
  <c r="C57" i="5"/>
  <c r="C54" i="5"/>
  <c r="C44" i="5"/>
  <c r="C45" i="5"/>
  <c r="C46" i="5"/>
  <c r="C47" i="5"/>
  <c r="C48" i="5"/>
  <c r="C49" i="5"/>
  <c r="C43" i="5"/>
  <c r="C39" i="5"/>
  <c r="C31" i="5"/>
  <c r="C33" i="5"/>
  <c r="C32" i="5"/>
  <c r="C2" i="5"/>
  <c r="U77" i="6"/>
  <c r="U78" i="6"/>
  <c r="U79" i="6"/>
  <c r="Z77" i="6"/>
  <c r="Z79" i="6"/>
  <c r="AE77" i="6"/>
  <c r="AE79" i="6"/>
  <c r="AJ77" i="6"/>
  <c r="AJ79" i="6"/>
  <c r="AO79" i="6"/>
  <c r="AD77" i="6"/>
  <c r="AD79" i="6"/>
  <c r="AI77" i="6"/>
  <c r="AI79" i="6"/>
  <c r="AN77" i="6"/>
  <c r="AN79" i="6"/>
  <c r="AC77" i="6"/>
  <c r="AC79" i="6"/>
  <c r="AH77" i="6"/>
  <c r="AH79" i="6"/>
  <c r="AM77" i="6"/>
  <c r="AM79" i="6"/>
  <c r="AB77" i="6"/>
  <c r="AB79" i="6"/>
  <c r="AG77" i="6"/>
  <c r="AG79" i="6"/>
  <c r="AL77" i="6"/>
  <c r="AL79" i="6"/>
  <c r="AA77" i="6"/>
  <c r="AA79" i="6"/>
  <c r="AF77" i="6"/>
  <c r="AF79" i="6"/>
  <c r="AK77" i="6"/>
  <c r="AK79" i="6"/>
  <c r="AA70" i="6"/>
  <c r="AB70" i="6"/>
  <c r="AC70" i="6"/>
  <c r="AD70" i="6"/>
  <c r="AF70" i="6"/>
  <c r="AG70" i="6"/>
  <c r="AH70" i="6"/>
  <c r="AI70" i="6"/>
  <c r="AK70" i="6"/>
  <c r="AL70" i="6"/>
  <c r="AM70" i="6"/>
  <c r="AN70" i="6"/>
  <c r="V31" i="6"/>
  <c r="V39" i="6"/>
  <c r="V46" i="6"/>
  <c r="V55" i="6"/>
  <c r="V60" i="6"/>
  <c r="V64" i="6"/>
  <c r="V66" i="6"/>
  <c r="W31" i="6"/>
  <c r="W39" i="6"/>
  <c r="W46" i="6"/>
  <c r="W55" i="6"/>
  <c r="W60" i="6"/>
  <c r="W64" i="6"/>
  <c r="W66" i="6"/>
  <c r="X31" i="6"/>
  <c r="X39" i="6"/>
  <c r="X46" i="6"/>
  <c r="X55" i="6"/>
  <c r="X60" i="6"/>
  <c r="X64" i="6"/>
  <c r="X66" i="6"/>
  <c r="H15" i="6"/>
  <c r="H18" i="6"/>
  <c r="H23" i="6"/>
  <c r="Y31" i="6"/>
  <c r="Y39" i="6"/>
  <c r="Y46" i="6"/>
  <c r="Y55" i="6"/>
  <c r="Y60" i="6"/>
  <c r="Y64" i="6"/>
  <c r="Y66" i="6"/>
  <c r="AF78" i="6"/>
  <c r="AG78" i="6"/>
  <c r="AH78" i="6"/>
  <c r="AI78" i="6"/>
  <c r="Z78" i="6"/>
  <c r="AE78" i="6"/>
  <c r="AJ78" i="6"/>
  <c r="AK78" i="6"/>
  <c r="AL78" i="6"/>
  <c r="AM78" i="6"/>
  <c r="AN78" i="6"/>
  <c r="AO78" i="6"/>
  <c r="V77" i="6"/>
  <c r="W77" i="6"/>
  <c r="X77" i="6"/>
  <c r="Y77" i="6"/>
  <c r="K49" i="5"/>
  <c r="F49" i="5"/>
  <c r="B19" i="6"/>
  <c r="B18" i="6"/>
  <c r="B16" i="6"/>
  <c r="B15" i="6"/>
  <c r="B12" i="6"/>
  <c r="B11" i="6"/>
  <c r="B10" i="6"/>
  <c r="B9" i="6"/>
  <c r="B25" i="1"/>
  <c r="T27" i="6"/>
  <c r="T28" i="6"/>
  <c r="T29" i="6"/>
  <c r="T30" i="6"/>
  <c r="T31" i="6"/>
  <c r="T33" i="6"/>
  <c r="T34" i="6"/>
  <c r="T35" i="6"/>
  <c r="T36" i="6"/>
  <c r="T37" i="6"/>
  <c r="T38" i="6"/>
  <c r="T39" i="6"/>
  <c r="T41" i="6"/>
  <c r="T42" i="6"/>
  <c r="T43" i="6"/>
  <c r="T44" i="6"/>
  <c r="T46" i="6"/>
  <c r="T48" i="6"/>
  <c r="T49" i="6"/>
  <c r="T50" i="6"/>
  <c r="T51" i="6"/>
  <c r="T52" i="6"/>
  <c r="T53" i="6"/>
  <c r="T54" i="6"/>
  <c r="T55" i="6"/>
  <c r="T57" i="6"/>
  <c r="T58" i="6"/>
  <c r="T59" i="6"/>
  <c r="T60" i="6"/>
  <c r="T62" i="6"/>
  <c r="T63" i="6"/>
  <c r="T64" i="6"/>
  <c r="T66" i="6"/>
  <c r="P27" i="6"/>
  <c r="P28" i="6"/>
  <c r="P29" i="6"/>
  <c r="P30" i="6"/>
  <c r="P31" i="6"/>
  <c r="P33" i="6"/>
  <c r="P34" i="6"/>
  <c r="P35" i="6"/>
  <c r="P36" i="6"/>
  <c r="P37" i="6"/>
  <c r="P38" i="6"/>
  <c r="P39" i="6"/>
  <c r="P41" i="6"/>
  <c r="P42" i="6"/>
  <c r="P43" i="6"/>
  <c r="P44" i="6"/>
  <c r="P46" i="6"/>
  <c r="P48" i="6"/>
  <c r="P49" i="6"/>
  <c r="P50" i="6"/>
  <c r="P51" i="6"/>
  <c r="P52" i="6"/>
  <c r="P53" i="6"/>
  <c r="P54" i="6"/>
  <c r="P55" i="6"/>
  <c r="P57" i="6"/>
  <c r="P58" i="6"/>
  <c r="P59" i="6"/>
  <c r="P60" i="6"/>
  <c r="P62" i="6"/>
  <c r="P63" i="6"/>
  <c r="P64" i="6"/>
  <c r="P66" i="6"/>
  <c r="L27" i="6"/>
  <c r="L28" i="6"/>
  <c r="L29" i="6"/>
  <c r="L30" i="6"/>
  <c r="L31" i="6"/>
  <c r="L33" i="6"/>
  <c r="L34" i="6"/>
  <c r="L35" i="6"/>
  <c r="L36" i="6"/>
  <c r="L37" i="6"/>
  <c r="L38" i="6"/>
  <c r="L39" i="6"/>
  <c r="L41" i="6"/>
  <c r="L42" i="6"/>
  <c r="L43" i="6"/>
  <c r="L44" i="6"/>
  <c r="L46" i="6"/>
  <c r="L48" i="6"/>
  <c r="L49" i="6"/>
  <c r="L50" i="6"/>
  <c r="L51" i="6"/>
  <c r="L52" i="6"/>
  <c r="L53" i="6"/>
  <c r="L54" i="6"/>
  <c r="L55" i="6"/>
  <c r="L57" i="6"/>
  <c r="L58" i="6"/>
  <c r="L59" i="6"/>
  <c r="L60" i="6"/>
  <c r="L62" i="6"/>
  <c r="L63" i="6"/>
  <c r="L64" i="6"/>
  <c r="L66" i="6"/>
  <c r="H27" i="6"/>
  <c r="H28" i="6"/>
  <c r="H29" i="6"/>
  <c r="H30" i="6"/>
  <c r="H31" i="6"/>
  <c r="H33" i="6"/>
  <c r="H34" i="6"/>
  <c r="H35" i="6"/>
  <c r="H36" i="6"/>
  <c r="H37" i="6"/>
  <c r="H38" i="6"/>
  <c r="H39" i="6"/>
  <c r="H41" i="6"/>
  <c r="H42" i="6"/>
  <c r="H43" i="6"/>
  <c r="H44" i="6"/>
  <c r="H46" i="6"/>
  <c r="H48" i="6"/>
  <c r="H49" i="6"/>
  <c r="H50" i="6"/>
  <c r="H51" i="6"/>
  <c r="H52" i="6"/>
  <c r="H53" i="6"/>
  <c r="H54" i="6"/>
  <c r="H55" i="6"/>
  <c r="H57" i="6"/>
  <c r="H58" i="6"/>
  <c r="H59" i="6"/>
  <c r="H60" i="6"/>
  <c r="H62" i="6"/>
  <c r="H63" i="6"/>
  <c r="H64" i="6"/>
  <c r="H66" i="6"/>
  <c r="AK28" i="5"/>
  <c r="AL28" i="5"/>
  <c r="AM28" i="5"/>
  <c r="AN28" i="5"/>
  <c r="AO28" i="5"/>
  <c r="AK29" i="5"/>
  <c r="AL29" i="5"/>
  <c r="AM29" i="5"/>
  <c r="AN29" i="5"/>
  <c r="AO29" i="5"/>
  <c r="AK30" i="5"/>
  <c r="AL30" i="5"/>
  <c r="AM30" i="5"/>
  <c r="AN30" i="5"/>
  <c r="AO30" i="5"/>
  <c r="AK31" i="5"/>
  <c r="AL31" i="5"/>
  <c r="AM31" i="5"/>
  <c r="AN31" i="5"/>
  <c r="AO31" i="5"/>
  <c r="AK32" i="5"/>
  <c r="AL32" i="5"/>
  <c r="AM32" i="5"/>
  <c r="AN32" i="5"/>
  <c r="AO32" i="5"/>
  <c r="AK33" i="5"/>
  <c r="AL33" i="5"/>
  <c r="AM33" i="5"/>
  <c r="AN33" i="5"/>
  <c r="AO33" i="5"/>
  <c r="AO34" i="5"/>
  <c r="AK36" i="5"/>
  <c r="AL36" i="5"/>
  <c r="AM36" i="5"/>
  <c r="AN36" i="5"/>
  <c r="AO36" i="5"/>
  <c r="AK37" i="5"/>
  <c r="AL37" i="5"/>
  <c r="AM37" i="5"/>
  <c r="AN37" i="5"/>
  <c r="AO37" i="5"/>
  <c r="AK38" i="5"/>
  <c r="AL38" i="5"/>
  <c r="AM38" i="5"/>
  <c r="AN38" i="5"/>
  <c r="AO38" i="5"/>
  <c r="AK39" i="5"/>
  <c r="AL39" i="5"/>
  <c r="AM39" i="5"/>
  <c r="AN39" i="5"/>
  <c r="AO39" i="5"/>
  <c r="AO41" i="5"/>
  <c r="AK43" i="5"/>
  <c r="AL43" i="5"/>
  <c r="AM43" i="5"/>
  <c r="AN43" i="5"/>
  <c r="AO43" i="5"/>
  <c r="AK44" i="5"/>
  <c r="AL44" i="5"/>
  <c r="AM44" i="5"/>
  <c r="AN44" i="5"/>
  <c r="AO44" i="5"/>
  <c r="AK45" i="5"/>
  <c r="AL45" i="5"/>
  <c r="AM45" i="5"/>
  <c r="AN45" i="5"/>
  <c r="AO45" i="5"/>
  <c r="AK46" i="5"/>
  <c r="AL46" i="5"/>
  <c r="AM46" i="5"/>
  <c r="AN46" i="5"/>
  <c r="AO46" i="5"/>
  <c r="AK47" i="5"/>
  <c r="AL47" i="5"/>
  <c r="AM47" i="5"/>
  <c r="AN47" i="5"/>
  <c r="AO47" i="5"/>
  <c r="AK48" i="5"/>
  <c r="AL48" i="5"/>
  <c r="AM48" i="5"/>
  <c r="AN48" i="5"/>
  <c r="AO48" i="5"/>
  <c r="AK49" i="5"/>
  <c r="AL49" i="5"/>
  <c r="AO49" i="5"/>
  <c r="AO50" i="5"/>
  <c r="AK52" i="5"/>
  <c r="AL52" i="5"/>
  <c r="AM52" i="5"/>
  <c r="AN52" i="5"/>
  <c r="AO52" i="5"/>
  <c r="AK53" i="5"/>
  <c r="AL53" i="5"/>
  <c r="AM53" i="5"/>
  <c r="AN53" i="5"/>
  <c r="AO53" i="5"/>
  <c r="AK54" i="5"/>
  <c r="AL54" i="5"/>
  <c r="AM54" i="5"/>
  <c r="AN54" i="5"/>
  <c r="AO54" i="5"/>
  <c r="AO55" i="5"/>
  <c r="AK57" i="5"/>
  <c r="AL57" i="5"/>
  <c r="AM57" i="5"/>
  <c r="AN57" i="5"/>
  <c r="AO57" i="5"/>
  <c r="AK58" i="5"/>
  <c r="AL58" i="5"/>
  <c r="AM58" i="5"/>
  <c r="AN58" i="5"/>
  <c r="AO58" i="5"/>
  <c r="AO59" i="5"/>
  <c r="AO61" i="5"/>
  <c r="AN34" i="5"/>
  <c r="AN41" i="5"/>
  <c r="AN50" i="5"/>
  <c r="AN55" i="5"/>
  <c r="AN59" i="5"/>
  <c r="AN61" i="5"/>
  <c r="AM34" i="5"/>
  <c r="AM41" i="5"/>
  <c r="AM50" i="5"/>
  <c r="AM55" i="5"/>
  <c r="AM59" i="5"/>
  <c r="AM61" i="5"/>
  <c r="AL34" i="5"/>
  <c r="AL41" i="5"/>
  <c r="AL50" i="5"/>
  <c r="AL55" i="5"/>
  <c r="AL59" i="5"/>
  <c r="AL61" i="5"/>
  <c r="AK34" i="5"/>
  <c r="AK41" i="5"/>
  <c r="AK50" i="5"/>
  <c r="AK55" i="5"/>
  <c r="AK59" i="5"/>
  <c r="AK61" i="5"/>
  <c r="AF28" i="5"/>
  <c r="AG28" i="5"/>
  <c r="AH28" i="5"/>
  <c r="AI28" i="5"/>
  <c r="AJ28" i="5"/>
  <c r="AF29" i="5"/>
  <c r="AG29" i="5"/>
  <c r="AH29" i="5"/>
  <c r="AI29" i="5"/>
  <c r="AJ29" i="5"/>
  <c r="AF30" i="5"/>
  <c r="AG30" i="5"/>
  <c r="AH30" i="5"/>
  <c r="AI30" i="5"/>
  <c r="AJ30" i="5"/>
  <c r="AF31" i="5"/>
  <c r="AG31" i="5"/>
  <c r="AH31" i="5"/>
  <c r="AI31" i="5"/>
  <c r="AJ31" i="5"/>
  <c r="AF32" i="5"/>
  <c r="AG32" i="5"/>
  <c r="AH32" i="5"/>
  <c r="AI32" i="5"/>
  <c r="AJ32" i="5"/>
  <c r="AF33" i="5"/>
  <c r="AG33" i="5"/>
  <c r="AH33" i="5"/>
  <c r="AI33" i="5"/>
  <c r="AJ33" i="5"/>
  <c r="AJ34" i="5"/>
  <c r="AF36" i="5"/>
  <c r="AG36" i="5"/>
  <c r="AH36" i="5"/>
  <c r="AI36" i="5"/>
  <c r="AJ36" i="5"/>
  <c r="AF37" i="5"/>
  <c r="AG37" i="5"/>
  <c r="AH37" i="5"/>
  <c r="AI37" i="5"/>
  <c r="AJ37" i="5"/>
  <c r="AF38" i="5"/>
  <c r="AG38" i="5"/>
  <c r="AH38" i="5"/>
  <c r="AI38" i="5"/>
  <c r="AJ38" i="5"/>
  <c r="AF39" i="5"/>
  <c r="AG39" i="5"/>
  <c r="AH39" i="5"/>
  <c r="AI39" i="5"/>
  <c r="AJ39" i="5"/>
  <c r="AJ41" i="5"/>
  <c r="AF43" i="5"/>
  <c r="AG43" i="5"/>
  <c r="AH43" i="5"/>
  <c r="AI43" i="5"/>
  <c r="AJ43" i="5"/>
  <c r="AF44" i="5"/>
  <c r="AG44" i="5"/>
  <c r="AH44" i="5"/>
  <c r="AI44" i="5"/>
  <c r="AJ44" i="5"/>
  <c r="AF45" i="5"/>
  <c r="AG45" i="5"/>
  <c r="AH45" i="5"/>
  <c r="AI45" i="5"/>
  <c r="AJ45" i="5"/>
  <c r="AF46" i="5"/>
  <c r="AG46" i="5"/>
  <c r="AH46" i="5"/>
  <c r="AI46" i="5"/>
  <c r="AJ46" i="5"/>
  <c r="AF47" i="5"/>
  <c r="AG47" i="5"/>
  <c r="AH47" i="5"/>
  <c r="AI47" i="5"/>
  <c r="AJ47" i="5"/>
  <c r="AF48" i="5"/>
  <c r="AG48" i="5"/>
  <c r="AH48" i="5"/>
  <c r="AI48" i="5"/>
  <c r="AJ48" i="5"/>
  <c r="AF49" i="5"/>
  <c r="AG49" i="5"/>
  <c r="AJ49" i="5"/>
  <c r="AJ50" i="5"/>
  <c r="AF52" i="5"/>
  <c r="AG52" i="5"/>
  <c r="AH52" i="5"/>
  <c r="AI52" i="5"/>
  <c r="AJ52" i="5"/>
  <c r="AF53" i="5"/>
  <c r="AG53" i="5"/>
  <c r="AH53" i="5"/>
  <c r="AI53" i="5"/>
  <c r="AJ53" i="5"/>
  <c r="AF54" i="5"/>
  <c r="AG54" i="5"/>
  <c r="AH54" i="5"/>
  <c r="AI54" i="5"/>
  <c r="AJ54" i="5"/>
  <c r="AJ55" i="5"/>
  <c r="AF57" i="5"/>
  <c r="AG57" i="5"/>
  <c r="AH57" i="5"/>
  <c r="AI57" i="5"/>
  <c r="AJ57" i="5"/>
  <c r="AF58" i="5"/>
  <c r="AG58" i="5"/>
  <c r="AH58" i="5"/>
  <c r="AI58" i="5"/>
  <c r="AJ58" i="5"/>
  <c r="AJ59" i="5"/>
  <c r="AJ61" i="5"/>
  <c r="AI34" i="5"/>
  <c r="AI41" i="5"/>
  <c r="AI50" i="5"/>
  <c r="AI55" i="5"/>
  <c r="AI59" i="5"/>
  <c r="AI61" i="5"/>
  <c r="AH34" i="5"/>
  <c r="AH41" i="5"/>
  <c r="AH50" i="5"/>
  <c r="AH55" i="5"/>
  <c r="AH59" i="5"/>
  <c r="AH61" i="5"/>
  <c r="AG34" i="5"/>
  <c r="AG41" i="5"/>
  <c r="AG50" i="5"/>
  <c r="AG55" i="5"/>
  <c r="AG59" i="5"/>
  <c r="AG61" i="5"/>
  <c r="AF34" i="5"/>
  <c r="AF41" i="5"/>
  <c r="AF50" i="5"/>
  <c r="AF55" i="5"/>
  <c r="AF59" i="5"/>
  <c r="AF61" i="5"/>
  <c r="AA28" i="5"/>
  <c r="AB28" i="5"/>
  <c r="AC28" i="5"/>
  <c r="AD28" i="5"/>
  <c r="AE28" i="5"/>
  <c r="AA29" i="5"/>
  <c r="AB29" i="5"/>
  <c r="AC29" i="5"/>
  <c r="AD29" i="5"/>
  <c r="AE29" i="5"/>
  <c r="AA30" i="5"/>
  <c r="AB30" i="5"/>
  <c r="AC30" i="5"/>
  <c r="AD30" i="5"/>
  <c r="AE30" i="5"/>
  <c r="AA31" i="5"/>
  <c r="AB31" i="5"/>
  <c r="AC31" i="5"/>
  <c r="AD31" i="5"/>
  <c r="AE31" i="5"/>
  <c r="AA32" i="5"/>
  <c r="AB32" i="5"/>
  <c r="AC32" i="5"/>
  <c r="AD32" i="5"/>
  <c r="AE32" i="5"/>
  <c r="AA33" i="5"/>
  <c r="AB33" i="5"/>
  <c r="AC33" i="5"/>
  <c r="AD33" i="5"/>
  <c r="AE33" i="5"/>
  <c r="AE34" i="5"/>
  <c r="AA36" i="5"/>
  <c r="AB36" i="5"/>
  <c r="AC36" i="5"/>
  <c r="AD36" i="5"/>
  <c r="AE36" i="5"/>
  <c r="AA37" i="5"/>
  <c r="AB37" i="5"/>
  <c r="AC37" i="5"/>
  <c r="AD37" i="5"/>
  <c r="AE37" i="5"/>
  <c r="AA38" i="5"/>
  <c r="AB38" i="5"/>
  <c r="AC38" i="5"/>
  <c r="AD38" i="5"/>
  <c r="AE38" i="5"/>
  <c r="AA39" i="5"/>
  <c r="AB39" i="5"/>
  <c r="AC39" i="5"/>
  <c r="AD39" i="5"/>
  <c r="AE39" i="5"/>
  <c r="AE41" i="5"/>
  <c r="AA43" i="5"/>
  <c r="AB43" i="5"/>
  <c r="AC43" i="5"/>
  <c r="AD43" i="5"/>
  <c r="AE43" i="5"/>
  <c r="AA44" i="5"/>
  <c r="AB44" i="5"/>
  <c r="AC44" i="5"/>
  <c r="AD44" i="5"/>
  <c r="AE44" i="5"/>
  <c r="AA45" i="5"/>
  <c r="AB45" i="5"/>
  <c r="AC45" i="5"/>
  <c r="AD45" i="5"/>
  <c r="AE45" i="5"/>
  <c r="AA46" i="5"/>
  <c r="AB46" i="5"/>
  <c r="AC46" i="5"/>
  <c r="AD46" i="5"/>
  <c r="AE46" i="5"/>
  <c r="AA47" i="5"/>
  <c r="AB47" i="5"/>
  <c r="AC47" i="5"/>
  <c r="AD47" i="5"/>
  <c r="AE47" i="5"/>
  <c r="AA48" i="5"/>
  <c r="AB48" i="5"/>
  <c r="AC48" i="5"/>
  <c r="AD48" i="5"/>
  <c r="AE48" i="5"/>
  <c r="AA49" i="5"/>
  <c r="AB49" i="5"/>
  <c r="AE49" i="5"/>
  <c r="AE50" i="5"/>
  <c r="AA52" i="5"/>
  <c r="AB52" i="5"/>
  <c r="AC52" i="5"/>
  <c r="AD52" i="5"/>
  <c r="AE52" i="5"/>
  <c r="AA53" i="5"/>
  <c r="AB53" i="5"/>
  <c r="AC53" i="5"/>
  <c r="AD53" i="5"/>
  <c r="AE53" i="5"/>
  <c r="AA54" i="5"/>
  <c r="AB54" i="5"/>
  <c r="AC54" i="5"/>
  <c r="AD54" i="5"/>
  <c r="AE54" i="5"/>
  <c r="AE55" i="5"/>
  <c r="AA57" i="5"/>
  <c r="AB57" i="5"/>
  <c r="AC57" i="5"/>
  <c r="AD57" i="5"/>
  <c r="AE57" i="5"/>
  <c r="AA58" i="5"/>
  <c r="AB58" i="5"/>
  <c r="AC58" i="5"/>
  <c r="AD58" i="5"/>
  <c r="AE58" i="5"/>
  <c r="AE59" i="5"/>
  <c r="AE61" i="5"/>
  <c r="AD34" i="5"/>
  <c r="AD41" i="5"/>
  <c r="AD50" i="5"/>
  <c r="AD55" i="5"/>
  <c r="AD59" i="5"/>
  <c r="AD61" i="5"/>
  <c r="AC34" i="5"/>
  <c r="AC41" i="5"/>
  <c r="AC50" i="5"/>
  <c r="AC55" i="5"/>
  <c r="AC59" i="5"/>
  <c r="AC61" i="5"/>
  <c r="AB34" i="5"/>
  <c r="AB41" i="5"/>
  <c r="AB50" i="5"/>
  <c r="AB55" i="5"/>
  <c r="AB59" i="5"/>
  <c r="AB61" i="5"/>
  <c r="AA34" i="5"/>
  <c r="AA41" i="5"/>
  <c r="AA50" i="5"/>
  <c r="AA55" i="5"/>
  <c r="AA59" i="5"/>
  <c r="AA61" i="5"/>
  <c r="V28" i="5"/>
  <c r="W28" i="5"/>
  <c r="X28" i="5"/>
  <c r="Y28" i="5"/>
  <c r="Z28" i="5"/>
  <c r="V29" i="5"/>
  <c r="W29" i="5"/>
  <c r="X29" i="5"/>
  <c r="Y29" i="5"/>
  <c r="Z29" i="5"/>
  <c r="V30" i="5"/>
  <c r="W30" i="5"/>
  <c r="X30" i="5"/>
  <c r="Y30" i="5"/>
  <c r="Z30" i="5"/>
  <c r="V31" i="5"/>
  <c r="W31" i="5"/>
  <c r="X31" i="5"/>
  <c r="Y31" i="5"/>
  <c r="Z31" i="5"/>
  <c r="V32" i="5"/>
  <c r="W32" i="5"/>
  <c r="X32" i="5"/>
  <c r="Y32" i="5"/>
  <c r="Z32" i="5"/>
  <c r="V33" i="5"/>
  <c r="W33" i="5"/>
  <c r="X33" i="5"/>
  <c r="Y33" i="5"/>
  <c r="Z33" i="5"/>
  <c r="Z34" i="5"/>
  <c r="V36" i="5"/>
  <c r="W36" i="5"/>
  <c r="X36" i="5"/>
  <c r="Y36" i="5"/>
  <c r="Z36" i="5"/>
  <c r="V37" i="5"/>
  <c r="W37" i="5"/>
  <c r="X37" i="5"/>
  <c r="Y37" i="5"/>
  <c r="Z37" i="5"/>
  <c r="V38" i="5"/>
  <c r="W38" i="5"/>
  <c r="X38" i="5"/>
  <c r="Y38" i="5"/>
  <c r="Z38" i="5"/>
  <c r="V39" i="5"/>
  <c r="W39" i="5"/>
  <c r="X39" i="5"/>
  <c r="Y39" i="5"/>
  <c r="Z39" i="5"/>
  <c r="Z41" i="5"/>
  <c r="V43" i="5"/>
  <c r="W43" i="5"/>
  <c r="X43" i="5"/>
  <c r="Y43" i="5"/>
  <c r="Z43" i="5"/>
  <c r="V44" i="5"/>
  <c r="W44" i="5"/>
  <c r="X44" i="5"/>
  <c r="Y44" i="5"/>
  <c r="Z44" i="5"/>
  <c r="V45" i="5"/>
  <c r="W45" i="5"/>
  <c r="X45" i="5"/>
  <c r="Y45" i="5"/>
  <c r="Z45" i="5"/>
  <c r="V46" i="5"/>
  <c r="W46" i="5"/>
  <c r="X46" i="5"/>
  <c r="Y46" i="5"/>
  <c r="Z46" i="5"/>
  <c r="V47" i="5"/>
  <c r="W47" i="5"/>
  <c r="X47" i="5"/>
  <c r="Y47" i="5"/>
  <c r="Z47" i="5"/>
  <c r="V48" i="5"/>
  <c r="W48" i="5"/>
  <c r="X48" i="5"/>
  <c r="Y48" i="5"/>
  <c r="Z48" i="5"/>
  <c r="V49" i="5"/>
  <c r="W49" i="5"/>
  <c r="Z49" i="5"/>
  <c r="Z50" i="5"/>
  <c r="V52" i="5"/>
  <c r="W52" i="5"/>
  <c r="X52" i="5"/>
  <c r="Y52" i="5"/>
  <c r="Z52" i="5"/>
  <c r="V53" i="5"/>
  <c r="W53" i="5"/>
  <c r="X53" i="5"/>
  <c r="Y53" i="5"/>
  <c r="Z53" i="5"/>
  <c r="V54" i="5"/>
  <c r="W54" i="5"/>
  <c r="X54" i="5"/>
  <c r="Y54" i="5"/>
  <c r="Z54" i="5"/>
  <c r="Z55" i="5"/>
  <c r="V57" i="5"/>
  <c r="W57" i="5"/>
  <c r="X57" i="5"/>
  <c r="Y57" i="5"/>
  <c r="Z57" i="5"/>
  <c r="V58" i="5"/>
  <c r="W58" i="5"/>
  <c r="X58" i="5"/>
  <c r="Y58" i="5"/>
  <c r="Z58" i="5"/>
  <c r="Z59" i="5"/>
  <c r="Z61" i="5"/>
  <c r="Y34" i="5"/>
  <c r="Y41" i="5"/>
  <c r="Y50" i="5"/>
  <c r="Y55" i="5"/>
  <c r="Y59" i="5"/>
  <c r="Y61" i="5"/>
  <c r="X34" i="5"/>
  <c r="X41" i="5"/>
  <c r="X50" i="5"/>
  <c r="X55" i="5"/>
  <c r="X59" i="5"/>
  <c r="X61" i="5"/>
  <c r="W34" i="5"/>
  <c r="W41" i="5"/>
  <c r="W50" i="5"/>
  <c r="W55" i="5"/>
  <c r="W59" i="5"/>
  <c r="W61" i="5"/>
  <c r="V34" i="5"/>
  <c r="V41" i="5"/>
  <c r="V50" i="5"/>
  <c r="V55" i="5"/>
  <c r="V59" i="5"/>
  <c r="V61" i="5"/>
  <c r="I28" i="5"/>
  <c r="J28" i="5"/>
  <c r="K28" i="5"/>
  <c r="M28" i="5"/>
  <c r="N28" i="5"/>
  <c r="O28" i="5"/>
  <c r="Q28" i="5"/>
  <c r="R28" i="5"/>
  <c r="S28" i="5"/>
  <c r="U28" i="5"/>
  <c r="K29" i="5"/>
  <c r="M29" i="5"/>
  <c r="N29" i="5"/>
  <c r="O29" i="5"/>
  <c r="Q29" i="5"/>
  <c r="R29" i="5"/>
  <c r="S29" i="5"/>
  <c r="U29" i="5"/>
  <c r="I30" i="5"/>
  <c r="J30" i="5"/>
  <c r="K30" i="5"/>
  <c r="M30" i="5"/>
  <c r="N30" i="5"/>
  <c r="O30" i="5"/>
  <c r="Q30" i="5"/>
  <c r="R30" i="5"/>
  <c r="S30" i="5"/>
  <c r="U30" i="5"/>
  <c r="E31" i="5"/>
  <c r="F31" i="5"/>
  <c r="G31" i="5"/>
  <c r="I31" i="5"/>
  <c r="J31" i="5"/>
  <c r="K31" i="5"/>
  <c r="M31" i="5"/>
  <c r="N31" i="5"/>
  <c r="O31" i="5"/>
  <c r="Q31" i="5"/>
  <c r="R31" i="5"/>
  <c r="S31" i="5"/>
  <c r="U31" i="5"/>
  <c r="E32" i="5"/>
  <c r="F32" i="5"/>
  <c r="G32" i="5"/>
  <c r="I32" i="5"/>
  <c r="J32" i="5"/>
  <c r="K32" i="5"/>
  <c r="M32" i="5"/>
  <c r="N32" i="5"/>
  <c r="O32" i="5"/>
  <c r="Q32" i="5"/>
  <c r="R32" i="5"/>
  <c r="S32" i="5"/>
  <c r="U32" i="5"/>
  <c r="E33" i="5"/>
  <c r="F33" i="5"/>
  <c r="G33" i="5"/>
  <c r="I33" i="5"/>
  <c r="J33" i="5"/>
  <c r="K33" i="5"/>
  <c r="M33" i="5"/>
  <c r="N33" i="5"/>
  <c r="O33" i="5"/>
  <c r="Q33" i="5"/>
  <c r="R33" i="5"/>
  <c r="S33" i="5"/>
  <c r="U33" i="5"/>
  <c r="U34" i="5"/>
  <c r="M36" i="5"/>
  <c r="N36" i="5"/>
  <c r="O36" i="5"/>
  <c r="Q36" i="5"/>
  <c r="R36" i="5"/>
  <c r="S36" i="5"/>
  <c r="U36" i="5"/>
  <c r="J37" i="5"/>
  <c r="K37" i="5"/>
  <c r="M37" i="5"/>
  <c r="N37" i="5"/>
  <c r="O37" i="5"/>
  <c r="Q37" i="5"/>
  <c r="R37" i="5"/>
  <c r="S37" i="5"/>
  <c r="U37" i="5"/>
  <c r="K38" i="5"/>
  <c r="M38" i="5"/>
  <c r="N38" i="5"/>
  <c r="O38" i="5"/>
  <c r="Q38" i="5"/>
  <c r="R38" i="5"/>
  <c r="S38" i="5"/>
  <c r="U38" i="5"/>
  <c r="E39" i="5"/>
  <c r="F39" i="5"/>
  <c r="G39" i="5"/>
  <c r="I39" i="5"/>
  <c r="J39" i="5"/>
  <c r="K39" i="5"/>
  <c r="M39" i="5"/>
  <c r="N39" i="5"/>
  <c r="O39" i="5"/>
  <c r="Q39" i="5"/>
  <c r="R39" i="5"/>
  <c r="S39" i="5"/>
  <c r="U39" i="5"/>
  <c r="U41" i="5"/>
  <c r="E43" i="5"/>
  <c r="F43" i="5"/>
  <c r="G43" i="5"/>
  <c r="I43" i="5"/>
  <c r="J43" i="5"/>
  <c r="K43" i="5"/>
  <c r="M43" i="5"/>
  <c r="N43" i="5"/>
  <c r="O43" i="5"/>
  <c r="Q43" i="5"/>
  <c r="R43" i="5"/>
  <c r="S43" i="5"/>
  <c r="U43" i="5"/>
  <c r="E44" i="5"/>
  <c r="F44" i="5"/>
  <c r="G44" i="5"/>
  <c r="I44" i="5"/>
  <c r="J44" i="5"/>
  <c r="K44" i="5"/>
  <c r="M44" i="5"/>
  <c r="N44" i="5"/>
  <c r="O44" i="5"/>
  <c r="Q44" i="5"/>
  <c r="R44" i="5"/>
  <c r="S44" i="5"/>
  <c r="U44" i="5"/>
  <c r="E45" i="5"/>
  <c r="F45" i="5"/>
  <c r="G45" i="5"/>
  <c r="I45" i="5"/>
  <c r="J45" i="5"/>
  <c r="K45" i="5"/>
  <c r="M45" i="5"/>
  <c r="N45" i="5"/>
  <c r="O45" i="5"/>
  <c r="Q45" i="5"/>
  <c r="R45" i="5"/>
  <c r="S45" i="5"/>
  <c r="U45" i="5"/>
  <c r="E46" i="5"/>
  <c r="F46" i="5"/>
  <c r="G46" i="5"/>
  <c r="I46" i="5"/>
  <c r="J46" i="5"/>
  <c r="K46" i="5"/>
  <c r="M46" i="5"/>
  <c r="N46" i="5"/>
  <c r="O46" i="5"/>
  <c r="Q46" i="5"/>
  <c r="R46" i="5"/>
  <c r="S46" i="5"/>
  <c r="U46" i="5"/>
  <c r="E47" i="5"/>
  <c r="F47" i="5"/>
  <c r="G47" i="5"/>
  <c r="I47" i="5"/>
  <c r="J47" i="5"/>
  <c r="K47" i="5"/>
  <c r="M47" i="5"/>
  <c r="N47" i="5"/>
  <c r="O47" i="5"/>
  <c r="Q47" i="5"/>
  <c r="R47" i="5"/>
  <c r="S47" i="5"/>
  <c r="U47" i="5"/>
  <c r="E48" i="5"/>
  <c r="F48" i="5"/>
  <c r="G48" i="5"/>
  <c r="I48" i="5"/>
  <c r="J48" i="5"/>
  <c r="K48" i="5"/>
  <c r="M48" i="5"/>
  <c r="N48" i="5"/>
  <c r="O48" i="5"/>
  <c r="Q48" i="5"/>
  <c r="R48" i="5"/>
  <c r="S48" i="5"/>
  <c r="U48" i="5"/>
  <c r="U49" i="5"/>
  <c r="U50" i="5"/>
  <c r="M52" i="5"/>
  <c r="N52" i="5"/>
  <c r="O52" i="5"/>
  <c r="Q52" i="5"/>
  <c r="R52" i="5"/>
  <c r="S52" i="5"/>
  <c r="U52" i="5"/>
  <c r="M53" i="5"/>
  <c r="N53" i="5"/>
  <c r="O53" i="5"/>
  <c r="Q53" i="5"/>
  <c r="R53" i="5"/>
  <c r="S53" i="5"/>
  <c r="U53" i="5"/>
  <c r="E54" i="5"/>
  <c r="F54" i="5"/>
  <c r="G54" i="5"/>
  <c r="I54" i="5"/>
  <c r="J54" i="5"/>
  <c r="K54" i="5"/>
  <c r="M54" i="5"/>
  <c r="N54" i="5"/>
  <c r="O54" i="5"/>
  <c r="Q54" i="5"/>
  <c r="R54" i="5"/>
  <c r="S54" i="5"/>
  <c r="U54" i="5"/>
  <c r="U55" i="5"/>
  <c r="E57" i="5"/>
  <c r="F57" i="5"/>
  <c r="G57" i="5"/>
  <c r="I57" i="5"/>
  <c r="J57" i="5"/>
  <c r="K57" i="5"/>
  <c r="M57" i="5"/>
  <c r="N57" i="5"/>
  <c r="O57" i="5"/>
  <c r="Q57" i="5"/>
  <c r="R57" i="5"/>
  <c r="S57" i="5"/>
  <c r="U57" i="5"/>
  <c r="E58" i="5"/>
  <c r="F58" i="5"/>
  <c r="G58" i="5"/>
  <c r="I58" i="5"/>
  <c r="J58" i="5"/>
  <c r="K58" i="5"/>
  <c r="M58" i="5"/>
  <c r="N58" i="5"/>
  <c r="O58" i="5"/>
  <c r="Q58" i="5"/>
  <c r="R58" i="5"/>
  <c r="S58" i="5"/>
  <c r="U58" i="5"/>
  <c r="U59" i="5"/>
  <c r="U61" i="5"/>
  <c r="T22" i="5"/>
  <c r="T23" i="5"/>
  <c r="T24" i="5"/>
  <c r="T26" i="5"/>
  <c r="T28" i="5"/>
  <c r="T29" i="5"/>
  <c r="T30" i="5"/>
  <c r="T31" i="5"/>
  <c r="T32" i="5"/>
  <c r="T33" i="5"/>
  <c r="T34" i="5"/>
  <c r="T36" i="5"/>
  <c r="T37" i="5"/>
  <c r="T38" i="5"/>
  <c r="T39" i="5"/>
  <c r="T41" i="5"/>
  <c r="T43" i="5"/>
  <c r="T44" i="5"/>
  <c r="T45" i="5"/>
  <c r="T46" i="5"/>
  <c r="T47" i="5"/>
  <c r="T48" i="5"/>
  <c r="T50" i="5"/>
  <c r="T52" i="5"/>
  <c r="T53" i="5"/>
  <c r="T54" i="5"/>
  <c r="T55" i="5"/>
  <c r="T57" i="5"/>
  <c r="T58" i="5"/>
  <c r="T59" i="5"/>
  <c r="T61" i="5"/>
  <c r="P22" i="5"/>
  <c r="P23" i="5"/>
  <c r="P24" i="5"/>
  <c r="P26" i="5"/>
  <c r="P28" i="5"/>
  <c r="P29" i="5"/>
  <c r="P30" i="5"/>
  <c r="P31" i="5"/>
  <c r="P32" i="5"/>
  <c r="P33" i="5"/>
  <c r="P34" i="5"/>
  <c r="P36" i="5"/>
  <c r="P37" i="5"/>
  <c r="P38" i="5"/>
  <c r="P39" i="5"/>
  <c r="P41" i="5"/>
  <c r="P43" i="5"/>
  <c r="P44" i="5"/>
  <c r="P45" i="5"/>
  <c r="P46" i="5"/>
  <c r="P47" i="5"/>
  <c r="P48" i="5"/>
  <c r="P50" i="5"/>
  <c r="P52" i="5"/>
  <c r="P53" i="5"/>
  <c r="P54" i="5"/>
  <c r="P55" i="5"/>
  <c r="P57" i="5"/>
  <c r="P58" i="5"/>
  <c r="P59" i="5"/>
  <c r="P61" i="5"/>
  <c r="L22" i="5"/>
  <c r="L23" i="5"/>
  <c r="L24" i="5"/>
  <c r="L26" i="5"/>
  <c r="L28" i="5"/>
  <c r="L29" i="5"/>
  <c r="L30" i="5"/>
  <c r="L31" i="5"/>
  <c r="L32" i="5"/>
  <c r="L33" i="5"/>
  <c r="L34" i="5"/>
  <c r="L36" i="5"/>
  <c r="L37" i="5"/>
  <c r="L38" i="5"/>
  <c r="L39" i="5"/>
  <c r="L41" i="5"/>
  <c r="L43" i="5"/>
  <c r="L44" i="5"/>
  <c r="L45" i="5"/>
  <c r="L46" i="5"/>
  <c r="L47" i="5"/>
  <c r="L48" i="5"/>
  <c r="L49" i="5"/>
  <c r="L50" i="5"/>
  <c r="L52" i="5"/>
  <c r="L53" i="5"/>
  <c r="L54" i="5"/>
  <c r="L55" i="5"/>
  <c r="L57" i="5"/>
  <c r="L58" i="5"/>
  <c r="L59" i="5"/>
  <c r="L61" i="5"/>
  <c r="H22" i="5"/>
  <c r="H23" i="5"/>
  <c r="H24" i="5"/>
  <c r="H26" i="5"/>
  <c r="H28" i="5"/>
  <c r="H29" i="5"/>
  <c r="H30" i="5"/>
  <c r="H31" i="5"/>
  <c r="H32" i="5"/>
  <c r="H33" i="5"/>
  <c r="H34" i="5"/>
  <c r="H36" i="5"/>
  <c r="H37" i="5"/>
  <c r="H38" i="5"/>
  <c r="H39" i="5"/>
  <c r="H41" i="5"/>
  <c r="H43" i="5"/>
  <c r="H44" i="5"/>
  <c r="H45" i="5"/>
  <c r="H46" i="5"/>
  <c r="H47" i="5"/>
  <c r="H48" i="5"/>
  <c r="H49" i="5"/>
  <c r="H50" i="5"/>
  <c r="H52" i="5"/>
  <c r="H54" i="5"/>
  <c r="H55" i="5"/>
  <c r="H57" i="5"/>
  <c r="H58" i="5"/>
  <c r="H59" i="5"/>
  <c r="H61" i="5"/>
  <c r="AN13" i="5"/>
  <c r="AN15" i="5"/>
  <c r="AN18" i="5"/>
  <c r="AM13" i="5"/>
  <c r="AM15" i="5"/>
  <c r="AM18" i="5"/>
  <c r="AL13" i="5"/>
  <c r="AL15" i="5"/>
  <c r="AL18" i="5"/>
  <c r="AK13" i="5"/>
  <c r="AK15" i="5"/>
  <c r="AK18" i="5"/>
  <c r="AI13" i="5"/>
  <c r="AI15" i="5"/>
  <c r="AI18" i="5"/>
  <c r="AH13" i="5"/>
  <c r="AH15" i="5"/>
  <c r="AH18" i="5"/>
  <c r="AG13" i="5"/>
  <c r="AG15" i="5"/>
  <c r="AG18" i="5"/>
  <c r="AF13" i="5"/>
  <c r="AF15" i="5"/>
  <c r="AF18" i="5"/>
  <c r="AD13" i="5"/>
  <c r="AD15" i="5"/>
  <c r="AD18" i="5"/>
  <c r="AC13" i="5"/>
  <c r="AC15" i="5"/>
  <c r="AC18" i="5"/>
  <c r="AB13" i="5"/>
  <c r="AB15" i="5"/>
  <c r="AB18" i="5"/>
  <c r="AA13" i="5"/>
  <c r="AA15" i="5"/>
  <c r="AA18" i="5"/>
  <c r="Y13" i="5"/>
  <c r="Y15" i="5"/>
  <c r="Y18" i="5"/>
  <c r="X13" i="5"/>
  <c r="X15" i="5"/>
  <c r="X18" i="5"/>
  <c r="W13" i="5"/>
  <c r="W15" i="5"/>
  <c r="W18" i="5"/>
  <c r="V13" i="5"/>
  <c r="V15" i="5"/>
  <c r="V18" i="5"/>
  <c r="U8" i="5"/>
  <c r="U9" i="5"/>
  <c r="U10" i="5"/>
  <c r="U11" i="5"/>
  <c r="U12" i="5"/>
  <c r="U13" i="5"/>
  <c r="U15" i="5"/>
  <c r="U18" i="5"/>
  <c r="T13" i="5"/>
  <c r="T15" i="5"/>
  <c r="T18" i="5"/>
  <c r="P13" i="5"/>
  <c r="P15" i="5"/>
  <c r="P18" i="5"/>
  <c r="L13" i="5"/>
  <c r="L15" i="5"/>
  <c r="L18" i="5"/>
  <c r="H13" i="5"/>
  <c r="H15" i="5"/>
  <c r="H18" i="5"/>
  <c r="D38" i="4"/>
  <c r="B38" i="4"/>
  <c r="W84" i="1"/>
  <c r="B74" i="1"/>
  <c r="W7" i="1"/>
  <c r="W8" i="1"/>
  <c r="W9" i="1"/>
  <c r="W10" i="1"/>
  <c r="W11" i="1"/>
  <c r="W14" i="1"/>
  <c r="E13" i="2"/>
  <c r="E16" i="1"/>
  <c r="F13" i="2"/>
  <c r="H16" i="1"/>
  <c r="K16" i="1"/>
  <c r="N16" i="1"/>
  <c r="W16" i="1"/>
  <c r="W17" i="1"/>
  <c r="W18" i="1"/>
  <c r="W19" i="1"/>
  <c r="W20" i="1"/>
  <c r="W21" i="1"/>
  <c r="W24" i="1"/>
  <c r="W36" i="1"/>
  <c r="W37" i="1"/>
  <c r="W38" i="1"/>
  <c r="W39" i="1"/>
  <c r="W40" i="1"/>
  <c r="W42" i="1"/>
  <c r="W44" i="1"/>
  <c r="W45" i="1"/>
  <c r="W46" i="1"/>
  <c r="W47" i="1"/>
  <c r="W48" i="1"/>
  <c r="W51" i="1"/>
  <c r="W53" i="1"/>
  <c r="W54" i="1"/>
  <c r="W55" i="1"/>
  <c r="W56" i="1"/>
  <c r="W57" i="1"/>
  <c r="W60" i="1"/>
  <c r="W26" i="1"/>
  <c r="W27" i="1"/>
  <c r="W28" i="1"/>
  <c r="W29" i="1"/>
  <c r="W30" i="1"/>
  <c r="W33" i="1"/>
  <c r="W69" i="1"/>
  <c r="E69" i="1"/>
  <c r="E71" i="1"/>
  <c r="H69" i="1"/>
  <c r="H71" i="1"/>
  <c r="K69" i="1"/>
  <c r="K71" i="1"/>
  <c r="N69" i="1"/>
  <c r="N71" i="1"/>
  <c r="Q69" i="1"/>
  <c r="Q71" i="1"/>
  <c r="W71" i="1"/>
  <c r="W73" i="1"/>
  <c r="Q73" i="1"/>
  <c r="N73" i="1"/>
  <c r="K73" i="1"/>
  <c r="H73" i="1"/>
  <c r="E73" i="1"/>
  <c r="B71" i="1"/>
  <c r="J60" i="1"/>
  <c r="G60" i="1"/>
  <c r="D60" i="1"/>
  <c r="P69" i="1"/>
  <c r="M69" i="1"/>
  <c r="R27" i="1"/>
  <c r="R28" i="1"/>
  <c r="R29" i="1"/>
  <c r="R30" i="1"/>
  <c r="R26" i="1"/>
  <c r="P60" i="1"/>
  <c r="R57" i="1"/>
  <c r="R54" i="1"/>
  <c r="R55" i="1"/>
  <c r="R56" i="1"/>
  <c r="R53" i="1"/>
  <c r="R48" i="1"/>
  <c r="R47" i="1"/>
  <c r="R46" i="1"/>
  <c r="R45" i="1"/>
  <c r="R44" i="1"/>
  <c r="R39" i="1"/>
  <c r="R38" i="1"/>
  <c r="R37" i="1"/>
  <c r="R36" i="1"/>
  <c r="R21" i="1"/>
  <c r="B5" i="1"/>
  <c r="R11" i="1"/>
  <c r="R16" i="1"/>
  <c r="R20" i="1"/>
  <c r="R19" i="1"/>
  <c r="R18" i="1"/>
  <c r="R17" i="1"/>
  <c r="R10" i="1"/>
  <c r="R9" i="1"/>
  <c r="R8" i="1"/>
  <c r="R7" i="1"/>
  <c r="M60" i="1"/>
  <c r="D69" i="1"/>
  <c r="J69" i="1"/>
  <c r="G69" i="1"/>
</calcChain>
</file>

<file path=xl/comments1.xml><?xml version="1.0" encoding="utf-8"?>
<comments xmlns="http://schemas.openxmlformats.org/spreadsheetml/2006/main">
  <authors>
    <author>Michael Wendt</author>
  </authors>
  <commentList>
    <comment ref="A33" authorId="0">
      <text>
        <r>
          <rPr>
            <b/>
            <sz val="9"/>
            <color indexed="81"/>
            <rFont val="Calibri"/>
            <family val="2"/>
          </rPr>
          <t>Michael Wendt:</t>
        </r>
        <r>
          <rPr>
            <sz val="9"/>
            <color indexed="81"/>
            <rFont val="Calibri"/>
            <family val="2"/>
          </rPr>
          <t xml:space="preserve">
High level, plans and organises corporate structure, tax planning, ensures financial efficiency, oversees outsourced accounting/bookkeeping perhaps £1000-1200/day, 3-5 days per month.     </t>
        </r>
      </text>
    </comment>
    <comment ref="A38" authorId="0">
      <text>
        <r>
          <rPr>
            <b/>
            <sz val="9"/>
            <color indexed="81"/>
            <rFont val="Calibri"/>
            <family val="2"/>
          </rPr>
          <t>Michael Wendt:</t>
        </r>
        <r>
          <rPr>
            <sz val="9"/>
            <color indexed="81"/>
            <rFont val="Calibri"/>
            <family val="2"/>
          </rPr>
          <t xml:space="preserve">
Mobile platform, apps, on line payments, security, system maintenance, integration, brand projection, freelance or on staff as permanent     </t>
        </r>
      </text>
    </comment>
    <comment ref="A59" authorId="0">
      <text>
        <r>
          <rPr>
            <b/>
            <sz val="9"/>
            <color indexed="81"/>
            <rFont val="Calibri"/>
            <family val="2"/>
          </rPr>
          <t>Michael Wendt:</t>
        </r>
        <r>
          <rPr>
            <sz val="9"/>
            <color indexed="81"/>
            <rFont val="Calibri"/>
            <family val="2"/>
          </rPr>
          <t xml:space="preserve">
Intelblock Quote plus 40% margin, terms 50% at 30 days, 50% on completion plus £100k for Navada, reduced by £13.5k in each of 1st 2 quarters. Additional £50k added with full funding     </t>
        </r>
      </text>
    </comment>
  </commentList>
</comments>
</file>

<file path=xl/sharedStrings.xml><?xml version="1.0" encoding="utf-8"?>
<sst xmlns="http://schemas.openxmlformats.org/spreadsheetml/2006/main" count="435" uniqueCount="271">
  <si>
    <t>Sohomuse - Subscriber Growth Calculator</t>
  </si>
  <si>
    <t>Subscriber Source</t>
  </si>
  <si>
    <t>Year 1</t>
  </si>
  <si>
    <t>Year 2</t>
  </si>
  <si>
    <t xml:space="preserve">Year 3 </t>
  </si>
  <si>
    <t>Year 4</t>
  </si>
  <si>
    <t>Sohomuse HQ Team</t>
  </si>
  <si>
    <t>HQ Team Yr 1</t>
  </si>
  <si>
    <t>HQ Team Yr 2</t>
  </si>
  <si>
    <t>HQ Team Yr 3</t>
  </si>
  <si>
    <t>HQ Team Yr 4</t>
  </si>
  <si>
    <t>Ambassadors</t>
  </si>
  <si>
    <t>Annual subscription</t>
  </si>
  <si>
    <t>Groups</t>
  </si>
  <si>
    <t>Brand Partners</t>
  </si>
  <si>
    <t>Brand Partners Yr 1</t>
  </si>
  <si>
    <t>Brand Partners Yr 2</t>
  </si>
  <si>
    <t>Brand Partners Yr 3</t>
  </si>
  <si>
    <t>Brand Partners Yr 4</t>
  </si>
  <si>
    <t>Outbound Marketing</t>
  </si>
  <si>
    <t>Annual Totals</t>
  </si>
  <si>
    <t>Intros per year</t>
  </si>
  <si>
    <t>Year 3</t>
  </si>
  <si>
    <t>Outbound Mktg Yr 1</t>
  </si>
  <si>
    <t>Outbound Mktg Yr 2</t>
  </si>
  <si>
    <t>Outbound Mktg Yr 3</t>
  </si>
  <si>
    <t>Outbound Mktg Yr 4</t>
  </si>
  <si>
    <t>Ambsdr. intros Yr 1</t>
  </si>
  <si>
    <t>Ambsdr. intros Yr 2</t>
  </si>
  <si>
    <t>Ambsdr. intros Yr 3</t>
  </si>
  <si>
    <t>Ambsdr. intros Yr 4</t>
  </si>
  <si>
    <t>Ambassador intros</t>
  </si>
  <si>
    <t>No. of Ambassadors</t>
  </si>
  <si>
    <t>Assumptions</t>
  </si>
  <si>
    <t>Subscription £/ann.</t>
  </si>
  <si>
    <t>Brand Partners - fees</t>
  </si>
  <si>
    <t>No. of Brand Partners</t>
  </si>
  <si>
    <t>Churn rate %</t>
  </si>
  <si>
    <t>HQ Team</t>
  </si>
  <si>
    <t>Client gets Client</t>
  </si>
  <si>
    <t>Client gets Client yr 1</t>
  </si>
  <si>
    <t>Client gets Client yr 2</t>
  </si>
  <si>
    <t>Client gets Client yr 3</t>
  </si>
  <si>
    <t>Client gets Client yr 4</t>
  </si>
  <si>
    <t>Client gets Client intros</t>
  </si>
  <si>
    <t>Nos.</t>
  </si>
  <si>
    <t>£</t>
  </si>
  <si>
    <t xml:space="preserve">% Churn </t>
  </si>
  <si>
    <t>Year 5</t>
  </si>
  <si>
    <t>Ambassador fee discount</t>
  </si>
  <si>
    <t>Outbound Mktg intros</t>
  </si>
  <si>
    <t xml:space="preserve">Groups </t>
  </si>
  <si>
    <t>HQ Team Yr 5</t>
  </si>
  <si>
    <t>Ambsdr. intros Yr 5</t>
  </si>
  <si>
    <t>Client gets Client yr 5</t>
  </si>
  <si>
    <t>Brand Partners Yr 5</t>
  </si>
  <si>
    <t>Outbound Mktg Yr 5</t>
  </si>
  <si>
    <t>Acquisition cost % sales</t>
  </si>
  <si>
    <t>Revenue net of acquisition cost</t>
  </si>
  <si>
    <t>Outbound Marketing (OM)</t>
  </si>
  <si>
    <t xml:space="preserve">OM cost/new subscriber </t>
  </si>
  <si>
    <t>Media Value</t>
  </si>
  <si>
    <t>Revenue Share</t>
  </si>
  <si>
    <t>Media Value campaigns/ann.</t>
  </si>
  <si>
    <t>Revenue share £</t>
  </si>
  <si>
    <t xml:space="preserve">Revenue share - trans./ann. </t>
  </si>
  <si>
    <t>Media value CPM £</t>
  </si>
  <si>
    <r>
      <t>Group factor</t>
    </r>
    <r>
      <rPr>
        <b/>
        <sz val="8"/>
        <color theme="1"/>
        <rFont val="Verdana"/>
      </rPr>
      <t xml:space="preserve"> (mult for media/rev values)</t>
    </r>
  </si>
  <si>
    <t xml:space="preserve">Intros </t>
  </si>
  <si>
    <t>No. of Corporate Clients</t>
  </si>
  <si>
    <t>Corporate Clients - fees</t>
  </si>
  <si>
    <t>Corporates Yr 2</t>
  </si>
  <si>
    <t>Corporates Yr 3</t>
  </si>
  <si>
    <t>Corporates Yr 4</t>
  </si>
  <si>
    <t>Expenses growth</t>
  </si>
  <si>
    <t>Partial</t>
  </si>
  <si>
    <t>Full</t>
  </si>
  <si>
    <t>Financial plan categories</t>
  </si>
  <si>
    <t>Administration - including accounting, audit, banking, consumables</t>
  </si>
  <si>
    <t>Directors, Management &amp; Staff - salaries, PAYE, Employers NIC, consultancy, expenses</t>
  </si>
  <si>
    <t>Sales &amp; Marketing - advertising, marketing, PR, cost of sales (e.g. commission), website development</t>
  </si>
  <si>
    <t>Technology &amp; Development - Fixed assets (IT &amp; Web), Software, Internet costs, Hosting, IT maintenance, development costs</t>
  </si>
  <si>
    <t>http://www.serverbeach.com/hosting-bundles</t>
  </si>
  <si>
    <t>http://www.peer1.com/cloud-hosting/mission-critical-cloud</t>
  </si>
  <si>
    <t>Premises - rent, premises expenses, insurance</t>
  </si>
  <si>
    <t>Other - legal fees, professional fees</t>
  </si>
  <si>
    <t>No. of Heads</t>
  </si>
  <si>
    <t>Ann. £</t>
  </si>
  <si>
    <t>Adminstration</t>
  </si>
  <si>
    <t>Bookkeeping/payroll</t>
  </si>
  <si>
    <t>F/T</t>
  </si>
  <si>
    <t>Audit</t>
  </si>
  <si>
    <t>Banking</t>
  </si>
  <si>
    <t>Office Manager / Assistant</t>
  </si>
  <si>
    <t>Directors, Management and Staff</t>
  </si>
  <si>
    <t>Chair  (NXD) - Rick McCallum</t>
  </si>
  <si>
    <t xml:space="preserve">Sales &amp; Marketing </t>
  </si>
  <si>
    <t>F/T FROM ADVISORY BOARD FOR 6 MONTHS THEN SPLIT INTO 1 X SALES AND 1 X MKTG</t>
  </si>
  <si>
    <t>Technical developers (as below)</t>
  </si>
  <si>
    <t>In house design (Zoran)</t>
  </si>
  <si>
    <t>In house tech</t>
  </si>
  <si>
    <t>Expenses</t>
  </si>
  <si>
    <t xml:space="preserve">Use % of wages/remuneration as proxy </t>
  </si>
  <si>
    <t>Employers NIC</t>
  </si>
  <si>
    <t>Employees NIC</t>
  </si>
  <si>
    <t>above £5772 per annum</t>
  </si>
  <si>
    <t>Advertising</t>
  </si>
  <si>
    <t xml:space="preserve">Marketing </t>
  </si>
  <si>
    <t>Intern / Researcher</t>
  </si>
  <si>
    <t>PR</t>
  </si>
  <si>
    <t>Cost of Sales (e.g. commission)</t>
  </si>
  <si>
    <t>Use % of sales as basis for commission, incentives etc</t>
  </si>
  <si>
    <t>Fixed assets IT &amp; Web)</t>
  </si>
  <si>
    <t>Computers, servers, routers (treat as revenue costs initially for cashflow purposes)</t>
  </si>
  <si>
    <t>Software</t>
  </si>
  <si>
    <t>Licence fees (treat as revenue costs initially for cashflow purposes)</t>
  </si>
  <si>
    <t>Internet costs</t>
  </si>
  <si>
    <t>Office line rental etc</t>
  </si>
  <si>
    <t>Hosting</t>
  </si>
  <si>
    <t>Peer 1 hosting via Cloud (up to 50gb) or dedicated servers range $250-$1000/month</t>
  </si>
  <si>
    <t>IT maintenance</t>
  </si>
  <si>
    <t>Outsourced maintenance of office services including internet, local software</t>
  </si>
  <si>
    <t>Development costs</t>
  </si>
  <si>
    <t>Reduced from £2k to £1k Outsourced development, additional to technical heads</t>
  </si>
  <si>
    <t>Premises costs</t>
  </si>
  <si>
    <t>To include phones internet, etc</t>
  </si>
  <si>
    <t>Insurance</t>
  </si>
  <si>
    <t>Legal fees</t>
  </si>
  <si>
    <t>Consider retainer perhaps, check options costs etc</t>
  </si>
  <si>
    <t>Professional fees</t>
  </si>
  <si>
    <t>Not sure what might be required</t>
  </si>
  <si>
    <t>Consumables</t>
  </si>
  <si>
    <t>Sales &amp; Marketing</t>
  </si>
  <si>
    <t>Website development</t>
  </si>
  <si>
    <t>Spend doubled with full funding</t>
  </si>
  <si>
    <t>Technology &amp; Development</t>
  </si>
  <si>
    <t>Premises</t>
  </si>
  <si>
    <t>Rent</t>
  </si>
  <si>
    <t>Consider various options for property initially, in future 'keyman' etc</t>
  </si>
  <si>
    <t>Other</t>
  </si>
  <si>
    <t>Sohomuse</t>
  </si>
  <si>
    <t>Cost increase yr 2</t>
  </si>
  <si>
    <t>Cost increase yr 3</t>
  </si>
  <si>
    <t>Cost increase yr 4</t>
  </si>
  <si>
    <t>Cost increase yr 5</t>
  </si>
  <si>
    <t>Monthly</t>
  </si>
  <si>
    <t>Month 1</t>
  </si>
  <si>
    <t>Month 2</t>
  </si>
  <si>
    <t>Month 3</t>
  </si>
  <si>
    <t>Quarter 1</t>
  </si>
  <si>
    <t>Month 4</t>
  </si>
  <si>
    <t>Month 5</t>
  </si>
  <si>
    <t>Month 6</t>
  </si>
  <si>
    <t>Quarter2</t>
  </si>
  <si>
    <t>Month 7</t>
  </si>
  <si>
    <t>Month 8</t>
  </si>
  <si>
    <t>Month 9</t>
  </si>
  <si>
    <t>Quarter 3</t>
  </si>
  <si>
    <t>Month 10</t>
  </si>
  <si>
    <t>Month 11</t>
  </si>
  <si>
    <t>Month 12</t>
  </si>
  <si>
    <t>Quarter 4</t>
  </si>
  <si>
    <t>Quarter 5</t>
  </si>
  <si>
    <t>Quarter 6</t>
  </si>
  <si>
    <t>Quarter 7</t>
  </si>
  <si>
    <t>Quarter 8</t>
  </si>
  <si>
    <t>Quarter 9</t>
  </si>
  <si>
    <t>Quarter 10</t>
  </si>
  <si>
    <t>Quarter 11</t>
  </si>
  <si>
    <t>Quarter 12</t>
  </si>
  <si>
    <t>Quarter 13</t>
  </si>
  <si>
    <t>Quarter 14</t>
  </si>
  <si>
    <t>Quarter 15</t>
  </si>
  <si>
    <t>Quarter 16</t>
  </si>
  <si>
    <t>Quarter 17</t>
  </si>
  <si>
    <t>Quarter 18</t>
  </si>
  <si>
    <t>Quarter 19</t>
  </si>
  <si>
    <t>Quarter 20</t>
  </si>
  <si>
    <t>Turnover</t>
  </si>
  <si>
    <t>Subscription</t>
  </si>
  <si>
    <t>Users</t>
  </si>
  <si>
    <t>Ad revenue</t>
  </si>
  <si>
    <t>Licencing/royalties</t>
  </si>
  <si>
    <t>Cost of sales</t>
  </si>
  <si>
    <t>Gross profit</t>
  </si>
  <si>
    <t>Costs</t>
  </si>
  <si>
    <t>Administration</t>
  </si>
  <si>
    <t>Accounts</t>
  </si>
  <si>
    <t xml:space="preserve">Consumables </t>
  </si>
  <si>
    <t>Directors, Management &amp; Staff</t>
  </si>
  <si>
    <t>Directors remuneration</t>
  </si>
  <si>
    <t>Wages &amp; Salaries (Gross)</t>
  </si>
  <si>
    <t>CFO/FD</t>
  </si>
  <si>
    <t xml:space="preserve">Expenses </t>
  </si>
  <si>
    <t>Marketing</t>
  </si>
  <si>
    <t>Cost of Sale (acquisition cost)</t>
  </si>
  <si>
    <t>Fixed costs (IT &amp; Web)</t>
  </si>
  <si>
    <t>Beta phase development</t>
  </si>
  <si>
    <t xml:space="preserve">Premises expenses </t>
  </si>
  <si>
    <t>Total overheads</t>
  </si>
  <si>
    <t>Consultancy</t>
  </si>
  <si>
    <t>Revenues</t>
  </si>
  <si>
    <t>Community Managers</t>
  </si>
  <si>
    <t>assume £250</t>
  </si>
  <si>
    <t>head/month</t>
  </si>
  <si>
    <t>month</t>
  </si>
  <si>
    <t>Corporates Yr 1</t>
  </si>
  <si>
    <t>Corporates Yr 5</t>
  </si>
  <si>
    <t>Corporates</t>
  </si>
  <si>
    <t>Exchange rate factor used</t>
  </si>
  <si>
    <t>Freelancers (design, research)</t>
  </si>
  <si>
    <t>Cost of Sales %</t>
  </si>
  <si>
    <t>Cumulative net profit</t>
  </si>
  <si>
    <t>Cumulative position inc. fund raise</t>
  </si>
  <si>
    <t>Subscribers</t>
  </si>
  <si>
    <r>
      <t xml:space="preserve">Sohomuse - </t>
    </r>
    <r>
      <rPr>
        <b/>
        <sz val="12"/>
        <color theme="1"/>
        <rFont val="Verdana"/>
      </rPr>
      <t xml:space="preserve">Profit &amp; Loss </t>
    </r>
  </si>
  <si>
    <r>
      <t>Net Profit</t>
    </r>
    <r>
      <rPr>
        <b/>
        <sz val="10"/>
        <color theme="1"/>
        <rFont val="Verdana"/>
      </rPr>
      <t xml:space="preserve"> </t>
    </r>
  </si>
  <si>
    <t>Example 1: Assume 1 year lag to earnings/revenues</t>
  </si>
  <si>
    <t>Cost Plan (STG £)</t>
  </si>
  <si>
    <t xml:space="preserve">Exchange rate factor used </t>
  </si>
  <si>
    <t>Beta phase development (Intelblocks quote)</t>
  </si>
  <si>
    <t>Valuation Calculations</t>
  </si>
  <si>
    <t>P/E ratio alternatives</t>
  </si>
  <si>
    <t>Low figure</t>
  </si>
  <si>
    <t>High figure</t>
  </si>
  <si>
    <t>Assume investment of  £</t>
  </si>
  <si>
    <t>Based on Year 5 earnings</t>
  </si>
  <si>
    <t xml:space="preserve">IRR </t>
  </si>
  <si>
    <t>purchases a stake of either/or</t>
  </si>
  <si>
    <t>Fund raise amount</t>
  </si>
  <si>
    <t>Medium figure</t>
  </si>
  <si>
    <t>Example 2: assumes 6 month lag with rev./earnings</t>
  </si>
  <si>
    <t>Example 3: assumes no lag with rev./earnings</t>
  </si>
  <si>
    <t>Mthly £</t>
  </si>
  <si>
    <t>Yr 1 to 2</t>
  </si>
  <si>
    <t xml:space="preserve">Yr 2 to 3 </t>
  </si>
  <si>
    <t>Yr 3 to 4</t>
  </si>
  <si>
    <t>Yr 4 to 5</t>
  </si>
  <si>
    <t>Fund raise  (£Stg)</t>
  </si>
  <si>
    <t xml:space="preserve">Chief Technical Officer - Steven James </t>
  </si>
  <si>
    <t>Chief Operating Officer - Michael Wendt</t>
  </si>
  <si>
    <t>Creative Director - Consuelo Costin</t>
  </si>
  <si>
    <t>Managing Director - Umi McGuckin</t>
  </si>
  <si>
    <r>
      <t xml:space="preserve">Chief Financial Officer - </t>
    </r>
    <r>
      <rPr>
        <sz val="9"/>
        <color rgb="FFFF0000"/>
        <rFont val="Verdana"/>
      </rPr>
      <t xml:space="preserve">??? </t>
    </r>
  </si>
  <si>
    <t xml:space="preserve">Premises  </t>
  </si>
  <si>
    <t xml:space="preserve">Other </t>
  </si>
  <si>
    <t>Heads assumption</t>
  </si>
  <si>
    <t>2 @ £/mth</t>
  </si>
  <si>
    <t>Net Profit/Loss</t>
  </si>
  <si>
    <t xml:space="preserve">Consultants, 1 X UK, 1 X US from month 4 and 6 respectively monthly retainer bursts of activity </t>
  </si>
  <si>
    <t>2 heads 3 months, 4 heads (month4) then 8 heads months 5/6 then 10 heads, premises costs to follow</t>
  </si>
  <si>
    <t>ADD £50K ON CLOSE OF FUNDING FOR COLLATERAL / VIDEOS CREATION, then £5k from month 4</t>
  </si>
  <si>
    <t xml:space="preserve"> 2 from beginning at £1500 each per month</t>
  </si>
  <si>
    <t xml:space="preserve">PROBABLY SPENT IN 3 CAMPAIGNS, from month 4. </t>
  </si>
  <si>
    <t>None for 3 months, then 1 @ month 4 2nd at month 5.</t>
  </si>
  <si>
    <t>From  month 5</t>
  </si>
  <si>
    <t>From month 4 target 2 days at £750/day</t>
  </si>
  <si>
    <t>From month 4</t>
  </si>
  <si>
    <t>Year 6</t>
  </si>
  <si>
    <t>Cum Total (to yr 5)</t>
  </si>
  <si>
    <t>Ambsdr. intros Yr 6</t>
  </si>
  <si>
    <t>Outbound Mktg Yr 6</t>
  </si>
  <si>
    <t>Client gets Client yr 6</t>
  </si>
  <si>
    <t>Corporates Yr 6</t>
  </si>
  <si>
    <t>Brand Partners Yr 6</t>
  </si>
  <si>
    <t>Quarter 21</t>
  </si>
  <si>
    <t>Quarter 22</t>
  </si>
  <si>
    <t>Quarter 23</t>
  </si>
  <si>
    <t>Quarter 24</t>
  </si>
  <si>
    <t>Cost increase yr 6</t>
  </si>
  <si>
    <t>Yr 5 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</si>
</sst>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£&quot;#,##0;[Red]\-&quot;£&quot;#,##0"/>
    <numFmt numFmtId="43" formatCode="_-* #,##0.00_-;\-* #,##0.00_-;_-* &quot;-&quot;??_-;_-@_-"/>
    <numFmt numFmtId="164" formatCode="&quot;£&quot;#,##0;[Red]&quot;£&quot;#,##0"/>
    <numFmt numFmtId="165" formatCode="_-* #,##0_-;\-* #,##0_-;_-* &quot;-&quot;??_-;_-@_-"/>
    <numFmt numFmtId="166" formatCode="0.0"/>
    <numFmt numFmtId="167" formatCode="0.0%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Verdana"/>
    </font>
    <font>
      <b/>
      <sz val="12"/>
      <color theme="1"/>
      <name val="Verdana"/>
    </font>
    <font>
      <b/>
      <sz val="14"/>
      <color theme="1"/>
      <name val="Verdana"/>
    </font>
    <font>
      <b/>
      <sz val="12"/>
      <color rgb="FFFF0000"/>
      <name val="Verdana"/>
    </font>
    <font>
      <b/>
      <sz val="12"/>
      <color rgb="FF000000"/>
      <name val="Verdana"/>
    </font>
    <font>
      <sz val="10"/>
      <color theme="1"/>
      <name val="Verdana"/>
    </font>
    <font>
      <b/>
      <sz val="10"/>
      <color theme="1"/>
      <name val="Verdana"/>
    </font>
    <font>
      <b/>
      <sz val="13"/>
      <color theme="1"/>
      <name val="Verdana"/>
    </font>
    <font>
      <b/>
      <sz val="8"/>
      <color theme="1"/>
      <name val="Verdana"/>
    </font>
    <font>
      <sz val="14"/>
      <color theme="1"/>
      <name val="Verdana"/>
    </font>
    <font>
      <sz val="16"/>
      <color theme="1"/>
      <name val="Verdana"/>
    </font>
    <font>
      <b/>
      <sz val="11"/>
      <color theme="1"/>
      <name val="Verdana"/>
    </font>
    <font>
      <b/>
      <i/>
      <sz val="10"/>
      <color theme="1"/>
      <name val="Verdana"/>
    </font>
    <font>
      <sz val="12"/>
      <color theme="0" tint="-0.14999847407452621"/>
      <name val="Verdana"/>
    </font>
    <font>
      <i/>
      <sz val="10"/>
      <color theme="1"/>
      <name val="Verdana"/>
    </font>
    <font>
      <u/>
      <sz val="10"/>
      <color theme="1"/>
      <name val="Verdana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theme="1"/>
      <name val="Verdana"/>
    </font>
    <font>
      <i/>
      <sz val="9"/>
      <color theme="1"/>
      <name val="Verdana"/>
    </font>
    <font>
      <sz val="9"/>
      <color rgb="FFFF0000"/>
      <name val="Verdana"/>
    </font>
    <font>
      <i/>
      <sz val="8"/>
      <color theme="1"/>
      <name val="Verdana"/>
    </font>
    <font>
      <u/>
      <sz val="9"/>
      <color theme="1"/>
      <name val="Verdana"/>
    </font>
  </fonts>
  <fills count="1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20FF15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629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2">
    <xf numFmtId="0" fontId="0" fillId="0" borderId="0" xfId="0"/>
    <xf numFmtId="0" fontId="5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64" fontId="5" fillId="0" borderId="0" xfId="0" applyNumberFormat="1" applyFont="1"/>
    <xf numFmtId="1" fontId="5" fillId="0" borderId="0" xfId="0" applyNumberFormat="1" applyFont="1"/>
    <xf numFmtId="3" fontId="5" fillId="0" borderId="0" xfId="0" applyNumberFormat="1" applyFont="1"/>
    <xf numFmtId="3" fontId="5" fillId="0" borderId="5" xfId="0" applyNumberFormat="1" applyFont="1" applyBorder="1"/>
    <xf numFmtId="0" fontId="5" fillId="0" borderId="6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2" xfId="0" applyFont="1" applyBorder="1"/>
    <xf numFmtId="0" fontId="7" fillId="2" borderId="2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5" fillId="4" borderId="4" xfId="0" applyFont="1" applyFill="1" applyBorder="1"/>
    <xf numFmtId="0" fontId="7" fillId="4" borderId="0" xfId="0" applyFont="1" applyFill="1" applyBorder="1" applyAlignment="1">
      <alignment horizontal="center"/>
    </xf>
    <xf numFmtId="0" fontId="8" fillId="4" borderId="0" xfId="0" applyFont="1" applyFill="1" applyBorder="1"/>
    <xf numFmtId="0" fontId="6" fillId="4" borderId="2" xfId="0" applyFont="1" applyFill="1" applyBorder="1"/>
    <xf numFmtId="0" fontId="7" fillId="4" borderId="8" xfId="0" applyFont="1" applyFill="1" applyBorder="1" applyAlignment="1">
      <alignment horizontal="center"/>
    </xf>
    <xf numFmtId="0" fontId="5" fillId="4" borderId="8" xfId="0" applyFont="1" applyFill="1" applyBorder="1"/>
    <xf numFmtId="0" fontId="6" fillId="4" borderId="4" xfId="0" applyFont="1" applyFill="1" applyBorder="1"/>
    <xf numFmtId="0" fontId="5" fillId="4" borderId="0" xfId="0" applyFont="1" applyFill="1" applyBorder="1"/>
    <xf numFmtId="0" fontId="6" fillId="4" borderId="6" xfId="0" applyFont="1" applyFill="1" applyBorder="1"/>
    <xf numFmtId="0" fontId="7" fillId="4" borderId="9" xfId="0" applyFont="1" applyFill="1" applyBorder="1" applyAlignment="1">
      <alignment horizontal="center"/>
    </xf>
    <xf numFmtId="0" fontId="6" fillId="4" borderId="9" xfId="0" applyFont="1" applyFill="1" applyBorder="1"/>
    <xf numFmtId="0" fontId="5" fillId="4" borderId="9" xfId="0" applyFont="1" applyFill="1" applyBorder="1"/>
    <xf numFmtId="0" fontId="8" fillId="4" borderId="8" xfId="0" applyFont="1" applyFill="1" applyBorder="1"/>
    <xf numFmtId="0" fontId="6" fillId="4" borderId="0" xfId="0" applyFont="1" applyFill="1" applyBorder="1"/>
    <xf numFmtId="0" fontId="5" fillId="4" borderId="6" xfId="0" applyFont="1" applyFill="1" applyBorder="1"/>
    <xf numFmtId="0" fontId="6" fillId="0" borderId="4" xfId="0" applyFont="1" applyFill="1" applyBorder="1"/>
    <xf numFmtId="0" fontId="6" fillId="0" borderId="6" xfId="0" applyFont="1" applyFill="1" applyBorder="1"/>
    <xf numFmtId="0" fontId="5" fillId="0" borderId="6" xfId="0" applyFont="1" applyFill="1" applyBorder="1"/>
    <xf numFmtId="1" fontId="5" fillId="4" borderId="4" xfId="0" applyNumberFormat="1" applyFont="1" applyFill="1" applyBorder="1"/>
    <xf numFmtId="3" fontId="5" fillId="4" borderId="5" xfId="0" applyNumberFormat="1" applyFont="1" applyFill="1" applyBorder="1"/>
    <xf numFmtId="1" fontId="5" fillId="4" borderId="1" xfId="0" applyNumberFormat="1" applyFont="1" applyFill="1" applyBorder="1"/>
    <xf numFmtId="3" fontId="5" fillId="4" borderId="1" xfId="0" applyNumberFormat="1" applyFont="1" applyFill="1" applyBorder="1"/>
    <xf numFmtId="0" fontId="5" fillId="4" borderId="1" xfId="0" applyFont="1" applyFill="1" applyBorder="1"/>
    <xf numFmtId="1" fontId="5" fillId="0" borderId="1" xfId="0" applyNumberFormat="1" applyFont="1" applyFill="1" applyBorder="1"/>
    <xf numFmtId="3" fontId="5" fillId="0" borderId="1" xfId="0" applyNumberFormat="1" applyFont="1" applyFill="1" applyBorder="1"/>
    <xf numFmtId="0" fontId="7" fillId="4" borderId="0" xfId="0" applyFont="1" applyFill="1" applyBorder="1"/>
    <xf numFmtId="1" fontId="6" fillId="4" borderId="1" xfId="0" applyNumberFormat="1" applyFont="1" applyFill="1" applyBorder="1"/>
    <xf numFmtId="0" fontId="6" fillId="4" borderId="1" xfId="0" applyFont="1" applyFill="1" applyBorder="1"/>
    <xf numFmtId="1" fontId="6" fillId="5" borderId="1" xfId="0" applyNumberFormat="1" applyFont="1" applyFill="1" applyBorder="1"/>
    <xf numFmtId="164" fontId="7" fillId="5" borderId="5" xfId="0" applyNumberFormat="1" applyFont="1" applyFill="1" applyBorder="1"/>
    <xf numFmtId="165" fontId="6" fillId="5" borderId="1" xfId="1" applyNumberFormat="1" applyFont="1" applyFill="1" applyBorder="1"/>
    <xf numFmtId="3" fontId="6" fillId="0" borderId="7" xfId="0" applyNumberFormat="1" applyFont="1" applyBorder="1"/>
    <xf numFmtId="3" fontId="6" fillId="0" borderId="5" xfId="0" applyNumberFormat="1" applyFont="1" applyBorder="1"/>
    <xf numFmtId="0" fontId="5" fillId="0" borderId="4" xfId="0" applyFont="1" applyFill="1" applyBorder="1"/>
    <xf numFmtId="0" fontId="6" fillId="4" borderId="12" xfId="0" applyFont="1" applyFill="1" applyBorder="1"/>
    <xf numFmtId="3" fontId="6" fillId="4" borderId="1" xfId="0" applyNumberFormat="1" applyFont="1" applyFill="1" applyBorder="1"/>
    <xf numFmtId="0" fontId="6" fillId="4" borderId="7" xfId="0" applyFont="1" applyFill="1" applyBorder="1"/>
    <xf numFmtId="0" fontId="9" fillId="6" borderId="9" xfId="0" applyFont="1" applyFill="1" applyBorder="1"/>
    <xf numFmtId="0" fontId="5" fillId="0" borderId="12" xfId="0" applyFont="1" applyBorder="1"/>
    <xf numFmtId="1" fontId="5" fillId="4" borderId="13" xfId="0" applyNumberFormat="1" applyFont="1" applyFill="1" applyBorder="1"/>
    <xf numFmtId="0" fontId="5" fillId="4" borderId="3" xfId="0" applyFont="1" applyFill="1" applyBorder="1"/>
    <xf numFmtId="0" fontId="5" fillId="4" borderId="5" xfId="0" applyFont="1" applyFill="1" applyBorder="1"/>
    <xf numFmtId="0" fontId="9" fillId="6" borderId="0" xfId="0" applyFont="1" applyFill="1" applyBorder="1"/>
    <xf numFmtId="0" fontId="7" fillId="5" borderId="0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10" fillId="4" borderId="1" xfId="0" applyFont="1" applyFill="1" applyBorder="1"/>
    <xf numFmtId="9" fontId="10" fillId="0" borderId="1" xfId="0" applyNumberFormat="1" applyFont="1" applyFill="1" applyBorder="1"/>
    <xf numFmtId="10" fontId="10" fillId="0" borderId="1" xfId="0" applyNumberFormat="1" applyFont="1" applyFill="1" applyBorder="1"/>
    <xf numFmtId="10" fontId="10" fillId="4" borderId="1" xfId="0" applyNumberFormat="1" applyFont="1" applyFill="1" applyBorder="1"/>
    <xf numFmtId="0" fontId="10" fillId="4" borderId="0" xfId="0" applyFont="1" applyFill="1" applyBorder="1"/>
    <xf numFmtId="0" fontId="11" fillId="4" borderId="1" xfId="0" applyFont="1" applyFill="1" applyBorder="1"/>
    <xf numFmtId="0" fontId="6" fillId="7" borderId="1" xfId="0" applyFont="1" applyFill="1" applyBorder="1" applyAlignment="1">
      <alignment horizontal="center"/>
    </xf>
    <xf numFmtId="0" fontId="6" fillId="7" borderId="1" xfId="0" applyFont="1" applyFill="1" applyBorder="1"/>
    <xf numFmtId="10" fontId="6" fillId="7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1" fontId="5" fillId="0" borderId="13" xfId="0" applyNumberFormat="1" applyFont="1" applyFill="1" applyBorder="1"/>
    <xf numFmtId="0" fontId="5" fillId="0" borderId="0" xfId="0" applyFont="1" applyFill="1"/>
    <xf numFmtId="3" fontId="6" fillId="0" borderId="13" xfId="0" applyNumberFormat="1" applyFont="1" applyBorder="1"/>
    <xf numFmtId="165" fontId="6" fillId="0" borderId="13" xfId="1" applyNumberFormat="1" applyFont="1" applyFill="1" applyBorder="1"/>
    <xf numFmtId="165" fontId="6" fillId="4" borderId="1" xfId="1" applyNumberFormat="1" applyFont="1" applyFill="1" applyBorder="1"/>
    <xf numFmtId="0" fontId="5" fillId="0" borderId="0" xfId="0" applyFont="1" applyBorder="1"/>
    <xf numFmtId="164" fontId="7" fillId="0" borderId="5" xfId="0" applyNumberFormat="1" applyFont="1" applyFill="1" applyBorder="1"/>
    <xf numFmtId="0" fontId="6" fillId="5" borderId="1" xfId="0" applyFont="1" applyFill="1" applyBorder="1"/>
    <xf numFmtId="9" fontId="6" fillId="5" borderId="1" xfId="0" applyNumberFormat="1" applyFont="1" applyFill="1" applyBorder="1" applyAlignment="1">
      <alignment horizontal="center"/>
    </xf>
    <xf numFmtId="165" fontId="5" fillId="4" borderId="1" xfId="1" applyNumberFormat="1" applyFont="1" applyFill="1" applyBorder="1"/>
    <xf numFmtId="0" fontId="7" fillId="4" borderId="12" xfId="0" applyFont="1" applyFill="1" applyBorder="1"/>
    <xf numFmtId="0" fontId="5" fillId="4" borderId="13" xfId="0" applyFont="1" applyFill="1" applyBorder="1"/>
    <xf numFmtId="0" fontId="6" fillId="4" borderId="13" xfId="0" applyFont="1" applyFill="1" applyBorder="1"/>
    <xf numFmtId="1" fontId="12" fillId="4" borderId="1" xfId="0" applyNumberFormat="1" applyFont="1" applyFill="1" applyBorder="1"/>
    <xf numFmtId="165" fontId="12" fillId="4" borderId="1" xfId="1" applyNumberFormat="1" applyFont="1" applyFill="1" applyBorder="1"/>
    <xf numFmtId="0" fontId="5" fillId="4" borderId="12" xfId="0" applyFont="1" applyFill="1" applyBorder="1"/>
    <xf numFmtId="0" fontId="9" fillId="6" borderId="13" xfId="0" applyFont="1" applyFill="1" applyBorder="1"/>
    <xf numFmtId="0" fontId="6" fillId="5" borderId="1" xfId="0" applyFont="1" applyFill="1" applyBorder="1" applyAlignment="1">
      <alignment horizontal="center"/>
    </xf>
    <xf numFmtId="1" fontId="7" fillId="0" borderId="0" xfId="0" applyNumberFormat="1" applyFont="1"/>
    <xf numFmtId="10" fontId="5" fillId="0" borderId="0" xfId="0" applyNumberFormat="1" applyFont="1"/>
    <xf numFmtId="1" fontId="5" fillId="0" borderId="0" xfId="0" applyNumberFormat="1" applyFont="1" applyFill="1"/>
    <xf numFmtId="1" fontId="7" fillId="11" borderId="15" xfId="0" applyNumberFormat="1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horizontal="center" vertical="center"/>
    </xf>
    <xf numFmtId="1" fontId="7" fillId="0" borderId="17" xfId="0" applyNumberFormat="1" applyFont="1" applyFill="1" applyBorder="1" applyAlignment="1">
      <alignment horizontal="center" vertical="center"/>
    </xf>
    <xf numFmtId="1" fontId="7" fillId="12" borderId="36" xfId="0" applyNumberFormat="1" applyFont="1" applyFill="1" applyBorder="1" applyAlignment="1">
      <alignment horizontal="center" vertical="center"/>
    </xf>
    <xf numFmtId="1" fontId="7" fillId="12" borderId="14" xfId="0" applyNumberFormat="1" applyFont="1" applyFill="1" applyBorder="1" applyAlignment="1">
      <alignment horizontal="center" vertical="center"/>
    </xf>
    <xf numFmtId="1" fontId="7" fillId="12" borderId="15" xfId="0" applyNumberFormat="1" applyFont="1" applyFill="1" applyBorder="1" applyAlignment="1">
      <alignment horizontal="center" vertical="center"/>
    </xf>
    <xf numFmtId="1" fontId="7" fillId="12" borderId="16" xfId="0" applyNumberFormat="1" applyFont="1" applyFill="1" applyBorder="1" applyAlignment="1">
      <alignment horizontal="center" vertical="center"/>
    </xf>
    <xf numFmtId="1" fontId="7" fillId="12" borderId="17" xfId="0" applyNumberFormat="1" applyFont="1" applyFill="1" applyBorder="1" applyAlignment="1">
      <alignment horizontal="center" vertical="center"/>
    </xf>
    <xf numFmtId="1" fontId="7" fillId="12" borderId="18" xfId="0" applyNumberFormat="1" applyFont="1" applyFill="1" applyBorder="1" applyAlignment="1">
      <alignment horizontal="center" vertical="center"/>
    </xf>
    <xf numFmtId="1" fontId="6" fillId="0" borderId="0" xfId="0" applyNumberFormat="1" applyFont="1"/>
    <xf numFmtId="1" fontId="5" fillId="11" borderId="19" xfId="0" applyNumberFormat="1" applyFont="1" applyFill="1" applyBorder="1"/>
    <xf numFmtId="1" fontId="5" fillId="11" borderId="11" xfId="0" applyNumberFormat="1" applyFont="1" applyFill="1" applyBorder="1"/>
    <xf numFmtId="1" fontId="5" fillId="0" borderId="11" xfId="0" applyNumberFormat="1" applyFont="1" applyFill="1" applyBorder="1"/>
    <xf numFmtId="1" fontId="5" fillId="0" borderId="4" xfId="0" applyNumberFormat="1" applyFont="1" applyFill="1" applyBorder="1"/>
    <xf numFmtId="1" fontId="5" fillId="11" borderId="37" xfId="0" applyNumberFormat="1" applyFont="1" applyFill="1" applyBorder="1"/>
    <xf numFmtId="1" fontId="5" fillId="11" borderId="20" xfId="0" applyNumberFormat="1" applyFont="1" applyFill="1" applyBorder="1"/>
    <xf numFmtId="1" fontId="5" fillId="11" borderId="4" xfId="0" applyNumberFormat="1" applyFont="1" applyFill="1" applyBorder="1"/>
    <xf numFmtId="1" fontId="6" fillId="12" borderId="39" xfId="0" applyNumberFormat="1" applyFont="1" applyFill="1" applyBorder="1"/>
    <xf numFmtId="1" fontId="5" fillId="12" borderId="28" xfId="0" applyNumberFormat="1" applyFont="1" applyFill="1" applyBorder="1"/>
    <xf numFmtId="1" fontId="5" fillId="12" borderId="18" xfId="0" applyNumberFormat="1" applyFont="1" applyFill="1" applyBorder="1"/>
    <xf numFmtId="1" fontId="5" fillId="11" borderId="22" xfId="0" applyNumberFormat="1" applyFont="1" applyFill="1" applyBorder="1"/>
    <xf numFmtId="1" fontId="5" fillId="11" borderId="10" xfId="0" applyNumberFormat="1" applyFont="1" applyFill="1" applyBorder="1"/>
    <xf numFmtId="1" fontId="5" fillId="0" borderId="10" xfId="0" applyNumberFormat="1" applyFont="1" applyFill="1" applyBorder="1"/>
    <xf numFmtId="1" fontId="5" fillId="0" borderId="2" xfId="0" applyNumberFormat="1" applyFont="1" applyFill="1" applyBorder="1"/>
    <xf numFmtId="1" fontId="7" fillId="13" borderId="41" xfId="0" applyNumberFormat="1" applyFont="1" applyFill="1" applyBorder="1"/>
    <xf numFmtId="1" fontId="14" fillId="13" borderId="42" xfId="0" applyNumberFormat="1" applyFont="1" applyFill="1" applyBorder="1"/>
    <xf numFmtId="1" fontId="14" fillId="13" borderId="43" xfId="0" applyNumberFormat="1" applyFont="1" applyFill="1" applyBorder="1"/>
    <xf numFmtId="1" fontId="14" fillId="13" borderId="1" xfId="0" applyNumberFormat="1" applyFont="1" applyFill="1" applyBorder="1"/>
    <xf numFmtId="1" fontId="14" fillId="13" borderId="12" xfId="0" applyNumberFormat="1" applyFont="1" applyFill="1" applyBorder="1"/>
    <xf numFmtId="1" fontId="14" fillId="0" borderId="0" xfId="0" applyNumberFormat="1" applyFont="1"/>
    <xf numFmtId="1" fontId="5" fillId="11" borderId="21" xfId="0" applyNumberFormat="1" applyFont="1" applyFill="1" applyBorder="1"/>
    <xf numFmtId="1" fontId="5" fillId="0" borderId="19" xfId="0" applyNumberFormat="1" applyFont="1" applyBorder="1"/>
    <xf numFmtId="1" fontId="5" fillId="0" borderId="11" xfId="0" applyNumberFormat="1" applyFont="1" applyBorder="1"/>
    <xf numFmtId="1" fontId="5" fillId="0" borderId="4" xfId="0" applyNumberFormat="1" applyFont="1" applyBorder="1"/>
    <xf numFmtId="1" fontId="5" fillId="0" borderId="14" xfId="0" applyNumberFormat="1" applyFont="1" applyBorder="1"/>
    <xf numFmtId="1" fontId="5" fillId="0" borderId="15" xfId="0" applyNumberFormat="1" applyFont="1" applyBorder="1"/>
    <xf numFmtId="1" fontId="5" fillId="0" borderId="17" xfId="0" applyNumberFormat="1" applyFont="1" applyBorder="1"/>
    <xf numFmtId="1" fontId="5" fillId="0" borderId="25" xfId="0" applyNumberFormat="1" applyFont="1" applyBorder="1"/>
    <xf numFmtId="1" fontId="5" fillId="0" borderId="26" xfId="0" applyNumberFormat="1" applyFont="1" applyBorder="1"/>
    <xf numFmtId="1" fontId="5" fillId="0" borderId="28" xfId="0" applyNumberFormat="1" applyFont="1" applyBorder="1"/>
    <xf numFmtId="1" fontId="5" fillId="0" borderId="0" xfId="0" applyNumberFormat="1" applyFont="1" applyBorder="1"/>
    <xf numFmtId="1" fontId="7" fillId="13" borderId="30" xfId="0" applyNumberFormat="1" applyFont="1" applyFill="1" applyBorder="1"/>
    <xf numFmtId="1" fontId="15" fillId="0" borderId="0" xfId="0" applyNumberFormat="1" applyFont="1"/>
    <xf numFmtId="165" fontId="11" fillId="11" borderId="37" xfId="1" applyNumberFormat="1" applyFont="1" applyFill="1" applyBorder="1"/>
    <xf numFmtId="165" fontId="11" fillId="11" borderId="38" xfId="1" applyNumberFormat="1" applyFont="1" applyFill="1" applyBorder="1"/>
    <xf numFmtId="165" fontId="11" fillId="11" borderId="0" xfId="1" applyNumberFormat="1" applyFont="1" applyFill="1" applyBorder="1"/>
    <xf numFmtId="165" fontId="11" fillId="11" borderId="21" xfId="1" applyNumberFormat="1" applyFont="1" applyFill="1" applyBorder="1"/>
    <xf numFmtId="1" fontId="10" fillId="11" borderId="37" xfId="0" applyNumberFormat="1" applyFont="1" applyFill="1" applyBorder="1"/>
    <xf numFmtId="165" fontId="11" fillId="13" borderId="40" xfId="1" applyNumberFormat="1" applyFont="1" applyFill="1" applyBorder="1"/>
    <xf numFmtId="1" fontId="10" fillId="11" borderId="20" xfId="0" applyNumberFormat="1" applyFont="1" applyFill="1" applyBorder="1"/>
    <xf numFmtId="1" fontId="10" fillId="11" borderId="19" xfId="0" applyNumberFormat="1" applyFont="1" applyFill="1" applyBorder="1"/>
    <xf numFmtId="1" fontId="10" fillId="11" borderId="11" xfId="0" applyNumberFormat="1" applyFont="1" applyFill="1" applyBorder="1"/>
    <xf numFmtId="1" fontId="10" fillId="11" borderId="4" xfId="0" applyNumberFormat="1" applyFont="1" applyFill="1" applyBorder="1"/>
    <xf numFmtId="1" fontId="10" fillId="11" borderId="21" xfId="0" applyNumberFormat="1" applyFont="1" applyFill="1" applyBorder="1"/>
    <xf numFmtId="1" fontId="10" fillId="0" borderId="11" xfId="0" applyNumberFormat="1" applyFont="1" applyBorder="1"/>
    <xf numFmtId="1" fontId="10" fillId="0" borderId="4" xfId="0" applyNumberFormat="1" applyFont="1" applyBorder="1"/>
    <xf numFmtId="1" fontId="10" fillId="0" borderId="19" xfId="0" applyNumberFormat="1" applyFont="1" applyBorder="1"/>
    <xf numFmtId="1" fontId="11" fillId="13" borderId="33" xfId="0" applyNumberFormat="1" applyFont="1" applyFill="1" applyBorder="1"/>
    <xf numFmtId="1" fontId="11" fillId="0" borderId="0" xfId="0" applyNumberFormat="1" applyFont="1" applyFill="1" applyBorder="1"/>
    <xf numFmtId="1" fontId="16" fillId="0" borderId="0" xfId="0" applyNumberFormat="1" applyFont="1"/>
    <xf numFmtId="1" fontId="11" fillId="0" borderId="0" xfId="0" applyNumberFormat="1" applyFont="1"/>
    <xf numFmtId="1" fontId="5" fillId="0" borderId="5" xfId="0" applyNumberFormat="1" applyFont="1" applyBorder="1"/>
    <xf numFmtId="1" fontId="7" fillId="11" borderId="49" xfId="0" applyNumberFormat="1" applyFont="1" applyFill="1" applyBorder="1" applyAlignment="1">
      <alignment horizontal="center" vertical="center"/>
    </xf>
    <xf numFmtId="1" fontId="5" fillId="11" borderId="5" xfId="0" applyNumberFormat="1" applyFont="1" applyFill="1" applyBorder="1"/>
    <xf numFmtId="1" fontId="5" fillId="11" borderId="3" xfId="0" applyNumberFormat="1" applyFont="1" applyFill="1" applyBorder="1"/>
    <xf numFmtId="1" fontId="14" fillId="13" borderId="13" xfId="0" applyNumberFormat="1" applyFont="1" applyFill="1" applyBorder="1"/>
    <xf numFmtId="1" fontId="5" fillId="0" borderId="49" xfId="0" applyNumberFormat="1" applyFont="1" applyBorder="1"/>
    <xf numFmtId="1" fontId="5" fillId="0" borderId="50" xfId="0" applyNumberFormat="1" applyFont="1" applyBorder="1"/>
    <xf numFmtId="1" fontId="5" fillId="12" borderId="39" xfId="0" applyNumberFormat="1" applyFont="1" applyFill="1" applyBorder="1" applyAlignment="1">
      <alignment horizontal="center" vertical="center"/>
    </xf>
    <xf numFmtId="1" fontId="7" fillId="12" borderId="28" xfId="0" applyNumberFormat="1" applyFont="1" applyFill="1" applyBorder="1" applyAlignment="1">
      <alignment horizontal="center" vertical="center"/>
    </xf>
    <xf numFmtId="1" fontId="7" fillId="12" borderId="38" xfId="0" applyNumberFormat="1" applyFont="1" applyFill="1" applyBorder="1"/>
    <xf numFmtId="1" fontId="5" fillId="12" borderId="38" xfId="0" applyNumberFormat="1" applyFont="1" applyFill="1" applyBorder="1"/>
    <xf numFmtId="1" fontId="5" fillId="12" borderId="0" xfId="0" applyNumberFormat="1" applyFont="1" applyFill="1" applyBorder="1"/>
    <xf numFmtId="1" fontId="5" fillId="12" borderId="21" xfId="0" applyNumberFormat="1" applyFont="1" applyFill="1" applyBorder="1"/>
    <xf numFmtId="1" fontId="6" fillId="12" borderId="38" xfId="0" applyNumberFormat="1" applyFont="1" applyFill="1" applyBorder="1"/>
    <xf numFmtId="1" fontId="7" fillId="13" borderId="0" xfId="0" applyNumberFormat="1" applyFont="1" applyFill="1" applyBorder="1"/>
    <xf numFmtId="1" fontId="7" fillId="14" borderId="0" xfId="0" applyNumberFormat="1" applyFont="1" applyFill="1" applyBorder="1"/>
    <xf numFmtId="38" fontId="11" fillId="14" borderId="1" xfId="1" applyNumberFormat="1" applyFont="1" applyFill="1" applyBorder="1"/>
    <xf numFmtId="1" fontId="15" fillId="13" borderId="8" xfId="0" applyNumberFormat="1" applyFont="1" applyFill="1" applyBorder="1"/>
    <xf numFmtId="1" fontId="6" fillId="13" borderId="24" xfId="0" applyNumberFormat="1" applyFont="1" applyFill="1" applyBorder="1" applyAlignment="1">
      <alignment wrapText="1"/>
    </xf>
    <xf numFmtId="38" fontId="11" fillId="13" borderId="1" xfId="1" applyNumberFormat="1" applyFont="1" applyFill="1" applyBorder="1" applyAlignment="1">
      <alignment vertical="center"/>
    </xf>
    <xf numFmtId="1" fontId="16" fillId="13" borderId="51" xfId="0" applyNumberFormat="1" applyFont="1" applyFill="1" applyBorder="1" applyAlignment="1">
      <alignment wrapText="1"/>
    </xf>
    <xf numFmtId="1" fontId="5" fillId="13" borderId="8" xfId="0" applyNumberFormat="1" applyFont="1" applyFill="1" applyBorder="1"/>
    <xf numFmtId="1" fontId="5" fillId="13" borderId="24" xfId="0" applyNumberFormat="1" applyFont="1" applyFill="1" applyBorder="1"/>
    <xf numFmtId="1" fontId="5" fillId="13" borderId="0" xfId="0" applyNumberFormat="1" applyFont="1" applyFill="1"/>
    <xf numFmtId="38" fontId="11" fillId="13" borderId="44" xfId="1" applyNumberFormat="1" applyFont="1" applyFill="1" applyBorder="1" applyAlignment="1">
      <alignment vertical="center"/>
    </xf>
    <xf numFmtId="38" fontId="11" fillId="13" borderId="45" xfId="1" applyNumberFormat="1" applyFont="1" applyFill="1" applyBorder="1" applyAlignment="1">
      <alignment vertical="center"/>
    </xf>
    <xf numFmtId="38" fontId="11" fillId="14" borderId="44" xfId="1" applyNumberFormat="1" applyFont="1" applyFill="1" applyBorder="1"/>
    <xf numFmtId="38" fontId="11" fillId="14" borderId="45" xfId="1" applyNumberFormat="1" applyFont="1" applyFill="1" applyBorder="1"/>
    <xf numFmtId="38" fontId="11" fillId="14" borderId="46" xfId="1" applyNumberFormat="1" applyFont="1" applyFill="1" applyBorder="1"/>
    <xf numFmtId="38" fontId="11" fillId="14" borderId="47" xfId="1" applyNumberFormat="1" applyFont="1" applyFill="1" applyBorder="1"/>
    <xf numFmtId="38" fontId="11" fillId="14" borderId="48" xfId="1" applyNumberFormat="1" applyFont="1" applyFill="1" applyBorder="1"/>
    <xf numFmtId="1" fontId="16" fillId="12" borderId="1" xfId="0" applyNumberFormat="1" applyFont="1" applyFill="1" applyBorder="1"/>
    <xf numFmtId="1" fontId="5" fillId="12" borderId="1" xfId="0" applyNumberFormat="1" applyFont="1" applyFill="1" applyBorder="1"/>
    <xf numFmtId="1" fontId="10" fillId="12" borderId="1" xfId="0" applyNumberFormat="1" applyFont="1" applyFill="1" applyBorder="1"/>
    <xf numFmtId="1" fontId="11" fillId="12" borderId="1" xfId="0" applyNumberFormat="1" applyFont="1" applyFill="1" applyBorder="1"/>
    <xf numFmtId="1" fontId="7" fillId="13" borderId="53" xfId="0" applyNumberFormat="1" applyFont="1" applyFill="1" applyBorder="1"/>
    <xf numFmtId="1" fontId="7" fillId="13" borderId="54" xfId="0" applyNumberFormat="1" applyFont="1" applyFill="1" applyBorder="1"/>
    <xf numFmtId="1" fontId="17" fillId="15" borderId="38" xfId="0" applyNumberFormat="1" applyFont="1" applyFill="1" applyBorder="1" applyAlignment="1">
      <alignment vertical="center" wrapText="1"/>
    </xf>
    <xf numFmtId="1" fontId="7" fillId="15" borderId="21" xfId="0" applyNumberFormat="1" applyFont="1" applyFill="1" applyBorder="1"/>
    <xf numFmtId="1" fontId="7" fillId="15" borderId="0" xfId="0" applyNumberFormat="1" applyFont="1" applyFill="1" applyBorder="1"/>
    <xf numFmtId="165" fontId="7" fillId="15" borderId="39" xfId="314" applyNumberFormat="1" applyFont="1" applyFill="1" applyBorder="1"/>
    <xf numFmtId="1" fontId="7" fillId="15" borderId="28" xfId="0" applyNumberFormat="1" applyFont="1" applyFill="1" applyBorder="1"/>
    <xf numFmtId="165" fontId="7" fillId="15" borderId="28" xfId="314" applyNumberFormat="1" applyFont="1" applyFill="1" applyBorder="1"/>
    <xf numFmtId="165" fontId="7" fillId="15" borderId="18" xfId="314" applyNumberFormat="1" applyFont="1" applyFill="1" applyBorder="1"/>
    <xf numFmtId="2" fontId="18" fillId="0" borderId="0" xfId="0" applyNumberFormat="1" applyFont="1" applyFill="1"/>
    <xf numFmtId="1" fontId="7" fillId="13" borderId="42" xfId="0" applyNumberFormat="1" applyFont="1" applyFill="1" applyBorder="1"/>
    <xf numFmtId="1" fontId="7" fillId="13" borderId="43" xfId="0" applyNumberFormat="1" applyFont="1" applyFill="1" applyBorder="1"/>
    <xf numFmtId="1" fontId="7" fillId="13" borderId="13" xfId="0" applyNumberFormat="1" applyFont="1" applyFill="1" applyBorder="1"/>
    <xf numFmtId="1" fontId="7" fillId="13" borderId="1" xfId="0" applyNumberFormat="1" applyFont="1" applyFill="1" applyBorder="1"/>
    <xf numFmtId="1" fontId="7" fillId="13" borderId="12" xfId="0" applyNumberFormat="1" applyFont="1" applyFill="1" applyBorder="1"/>
    <xf numFmtId="1" fontId="7" fillId="13" borderId="40" xfId="0" applyNumberFormat="1" applyFont="1" applyFill="1" applyBorder="1"/>
    <xf numFmtId="1" fontId="7" fillId="13" borderId="44" xfId="0" applyNumberFormat="1" applyFont="1" applyFill="1" applyBorder="1"/>
    <xf numFmtId="1" fontId="7" fillId="13" borderId="45" xfId="0" applyNumberFormat="1" applyFont="1" applyFill="1" applyBorder="1"/>
    <xf numFmtId="165" fontId="10" fillId="14" borderId="22" xfId="1" applyNumberFormat="1" applyFont="1" applyFill="1" applyBorder="1"/>
    <xf numFmtId="165" fontId="10" fillId="14" borderId="10" xfId="1" applyNumberFormat="1" applyFont="1" applyFill="1" applyBorder="1"/>
    <xf numFmtId="165" fontId="10" fillId="14" borderId="23" xfId="1" applyNumberFormat="1" applyFont="1" applyFill="1" applyBorder="1"/>
    <xf numFmtId="165" fontId="10" fillId="14" borderId="19" xfId="1" applyNumberFormat="1" applyFont="1" applyFill="1" applyBorder="1"/>
    <xf numFmtId="165" fontId="10" fillId="14" borderId="11" xfId="1" applyNumberFormat="1" applyFont="1" applyFill="1" applyBorder="1"/>
    <xf numFmtId="165" fontId="10" fillId="14" borderId="20" xfId="1" applyNumberFormat="1" applyFont="1" applyFill="1" applyBorder="1"/>
    <xf numFmtId="165" fontId="10" fillId="14" borderId="25" xfId="1" applyNumberFormat="1" applyFont="1" applyFill="1" applyBorder="1"/>
    <xf numFmtId="165" fontId="10" fillId="14" borderId="26" xfId="1" applyNumberFormat="1" applyFont="1" applyFill="1" applyBorder="1"/>
    <xf numFmtId="165" fontId="10" fillId="14" borderId="27" xfId="1" applyNumberFormat="1" applyFont="1" applyFill="1" applyBorder="1"/>
    <xf numFmtId="165" fontId="10" fillId="14" borderId="14" xfId="1" applyNumberFormat="1" applyFont="1" applyFill="1" applyBorder="1"/>
    <xf numFmtId="165" fontId="10" fillId="14" borderId="15" xfId="1" applyNumberFormat="1" applyFont="1" applyFill="1" applyBorder="1"/>
    <xf numFmtId="165" fontId="10" fillId="14" borderId="16" xfId="1" applyNumberFormat="1" applyFont="1" applyFill="1" applyBorder="1"/>
    <xf numFmtId="165" fontId="10" fillId="14" borderId="55" xfId="1" applyNumberFormat="1" applyFont="1" applyFill="1" applyBorder="1"/>
    <xf numFmtId="165" fontId="10" fillId="14" borderId="35" xfId="1" applyNumberFormat="1" applyFont="1" applyFill="1" applyBorder="1"/>
    <xf numFmtId="165" fontId="10" fillId="14" borderId="56" xfId="1" applyNumberFormat="1" applyFont="1" applyFill="1" applyBorder="1"/>
    <xf numFmtId="0" fontId="10" fillId="0" borderId="0" xfId="0" applyFont="1" applyAlignment="1">
      <alignment horizontal="center" wrapText="1"/>
    </xf>
    <xf numFmtId="0" fontId="10" fillId="0" borderId="0" xfId="0" applyFont="1"/>
    <xf numFmtId="10" fontId="5" fillId="2" borderId="0" xfId="0" applyNumberFormat="1" applyFont="1" applyFill="1"/>
    <xf numFmtId="0" fontId="10" fillId="0" borderId="0" xfId="0" applyFont="1" applyAlignment="1">
      <alignment horizontal="center"/>
    </xf>
    <xf numFmtId="0" fontId="11" fillId="0" borderId="0" xfId="0" applyFont="1"/>
    <xf numFmtId="0" fontId="10" fillId="0" borderId="0" xfId="0" applyFont="1" applyFill="1"/>
    <xf numFmtId="0" fontId="20" fillId="0" borderId="0" xfId="0" applyFont="1"/>
    <xf numFmtId="3" fontId="10" fillId="5" borderId="0" xfId="0" applyNumberFormat="1" applyFont="1" applyFill="1"/>
    <xf numFmtId="0" fontId="10" fillId="8" borderId="0" xfId="0" applyFont="1" applyFill="1" applyAlignment="1">
      <alignment horizontal="center" wrapText="1"/>
    </xf>
    <xf numFmtId="1" fontId="5" fillId="11" borderId="0" xfId="0" applyNumberFormat="1" applyFont="1" applyFill="1" applyAlignment="1">
      <alignment horizontal="center" vertical="center"/>
    </xf>
    <xf numFmtId="1" fontId="5" fillId="11" borderId="14" xfId="0" applyNumberFormat="1" applyFont="1" applyFill="1" applyBorder="1" applyAlignment="1">
      <alignment horizontal="center" vertical="center"/>
    </xf>
    <xf numFmtId="1" fontId="5" fillId="11" borderId="15" xfId="0" applyNumberFormat="1" applyFont="1" applyFill="1" applyBorder="1" applyAlignment="1">
      <alignment horizontal="center" vertical="center"/>
    </xf>
    <xf numFmtId="1" fontId="5" fillId="0" borderId="15" xfId="0" applyNumberFormat="1" applyFont="1" applyFill="1" applyBorder="1" applyAlignment="1">
      <alignment horizontal="center" vertical="center"/>
    </xf>
    <xf numFmtId="1" fontId="5" fillId="11" borderId="16" xfId="0" applyNumberFormat="1" applyFont="1" applyFill="1" applyBorder="1" applyAlignment="1">
      <alignment horizontal="center" vertical="center"/>
    </xf>
    <xf numFmtId="1" fontId="5" fillId="11" borderId="17" xfId="0" applyNumberFormat="1" applyFont="1" applyFill="1" applyBorder="1" applyAlignment="1">
      <alignment horizontal="center" vertical="center"/>
    </xf>
    <xf numFmtId="1" fontId="5" fillId="11" borderId="18" xfId="0" applyNumberFormat="1" applyFont="1" applyFill="1" applyBorder="1" applyAlignment="1">
      <alignment horizontal="center" vertical="center"/>
    </xf>
    <xf numFmtId="1" fontId="5" fillId="11" borderId="0" xfId="0" applyNumberFormat="1" applyFont="1" applyFill="1"/>
    <xf numFmtId="1" fontId="5" fillId="11" borderId="23" xfId="0" applyNumberFormat="1" applyFont="1" applyFill="1" applyBorder="1"/>
    <xf numFmtId="1" fontId="5" fillId="11" borderId="2" xfId="0" applyNumberFormat="1" applyFont="1" applyFill="1" applyBorder="1"/>
    <xf numFmtId="1" fontId="5" fillId="11" borderId="24" xfId="0" applyNumberFormat="1" applyFont="1" applyFill="1" applyBorder="1"/>
    <xf numFmtId="1" fontId="6" fillId="11" borderId="0" xfId="0" applyNumberFormat="1" applyFont="1" applyFill="1"/>
    <xf numFmtId="1" fontId="5" fillId="11" borderId="16" xfId="0" applyNumberFormat="1" applyFont="1" applyFill="1" applyBorder="1"/>
    <xf numFmtId="1" fontId="5" fillId="11" borderId="27" xfId="0" applyNumberFormat="1" applyFont="1" applyFill="1" applyBorder="1"/>
    <xf numFmtId="1" fontId="5" fillId="11" borderId="14" xfId="0" applyNumberFormat="1" applyFont="1" applyFill="1" applyBorder="1"/>
    <xf numFmtId="1" fontId="5" fillId="11" borderId="18" xfId="0" applyNumberFormat="1" applyFont="1" applyFill="1" applyBorder="1"/>
    <xf numFmtId="1" fontId="5" fillId="11" borderId="29" xfId="0" applyNumberFormat="1" applyFont="1" applyFill="1" applyBorder="1"/>
    <xf numFmtId="1" fontId="5" fillId="11" borderId="30" xfId="0" applyNumberFormat="1" applyFont="1" applyFill="1" applyBorder="1"/>
    <xf numFmtId="1" fontId="5" fillId="11" borderId="25" xfId="0" applyNumberFormat="1" applyFont="1" applyFill="1" applyBorder="1"/>
    <xf numFmtId="1" fontId="5" fillId="11" borderId="26" xfId="0" applyNumberFormat="1" applyFont="1" applyFill="1" applyBorder="1"/>
    <xf numFmtId="1" fontId="5" fillId="11" borderId="31" xfId="0" applyNumberFormat="1" applyFont="1" applyFill="1" applyBorder="1"/>
    <xf numFmtId="165" fontId="5" fillId="11" borderId="30" xfId="314" applyNumberFormat="1" applyFont="1" applyFill="1" applyBorder="1"/>
    <xf numFmtId="0" fontId="6" fillId="0" borderId="0" xfId="0" applyFont="1" applyAlignment="1">
      <alignment vertical="center"/>
    </xf>
    <xf numFmtId="0" fontId="5" fillId="12" borderId="0" xfId="0" applyFont="1" applyFill="1"/>
    <xf numFmtId="38" fontId="6" fillId="12" borderId="0" xfId="0" applyNumberFormat="1" applyFont="1" applyFill="1" applyAlignment="1">
      <alignment vertical="center"/>
    </xf>
    <xf numFmtId="0" fontId="6" fillId="12" borderId="0" xfId="0" applyFont="1" applyFill="1" applyAlignment="1">
      <alignment horizontal="right"/>
    </xf>
    <xf numFmtId="0" fontId="5" fillId="16" borderId="0" xfId="0" applyFont="1" applyFill="1"/>
    <xf numFmtId="0" fontId="7" fillId="16" borderId="0" xfId="0" applyFont="1" applyFill="1"/>
    <xf numFmtId="166" fontId="7" fillId="16" borderId="0" xfId="0" applyNumberFormat="1" applyFont="1" applyFill="1" applyAlignment="1">
      <alignment horizontal="center"/>
    </xf>
    <xf numFmtId="165" fontId="6" fillId="16" borderId="0" xfId="1" applyNumberFormat="1" applyFont="1" applyFill="1" applyAlignment="1">
      <alignment vertical="center"/>
    </xf>
    <xf numFmtId="0" fontId="6" fillId="16" borderId="0" xfId="0" applyFont="1" applyFill="1"/>
    <xf numFmtId="9" fontId="6" fillId="12" borderId="0" xfId="0" applyNumberFormat="1" applyFont="1" applyFill="1"/>
    <xf numFmtId="0" fontId="6" fillId="5" borderId="0" xfId="0" applyFont="1" applyFill="1" applyAlignment="1">
      <alignment horizontal="right"/>
    </xf>
    <xf numFmtId="165" fontId="6" fillId="12" borderId="1" xfId="1" applyNumberFormat="1" applyFont="1" applyFill="1" applyBorder="1" applyAlignment="1">
      <alignment vertical="center"/>
    </xf>
    <xf numFmtId="167" fontId="6" fillId="5" borderId="1" xfId="1" applyNumberFormat="1" applyFont="1" applyFill="1" applyBorder="1" applyAlignment="1">
      <alignment vertical="center"/>
    </xf>
    <xf numFmtId="167" fontId="6" fillId="12" borderId="1" xfId="1" applyNumberFormat="1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165" fontId="6" fillId="12" borderId="1" xfId="0" applyNumberFormat="1" applyFont="1" applyFill="1" applyBorder="1" applyAlignment="1">
      <alignment vertical="center"/>
    </xf>
    <xf numFmtId="0" fontId="5" fillId="12" borderId="1" xfId="0" applyFont="1" applyFill="1" applyBorder="1"/>
    <xf numFmtId="165" fontId="6" fillId="12" borderId="35" xfId="1" applyNumberFormat="1" applyFont="1" applyFill="1" applyBorder="1" applyAlignment="1">
      <alignment vertical="center"/>
    </xf>
    <xf numFmtId="0" fontId="5" fillId="16" borderId="12" xfId="0" applyFont="1" applyFill="1" applyBorder="1"/>
    <xf numFmtId="0" fontId="5" fillId="16" borderId="42" xfId="0" applyFont="1" applyFill="1" applyBorder="1"/>
    <xf numFmtId="0" fontId="5" fillId="16" borderId="13" xfId="0" applyFont="1" applyFill="1" applyBorder="1"/>
    <xf numFmtId="9" fontId="7" fillId="17" borderId="0" xfId="0" applyNumberFormat="1" applyFont="1" applyFill="1" applyAlignment="1">
      <alignment vertical="center"/>
    </xf>
    <xf numFmtId="3" fontId="7" fillId="17" borderId="0" xfId="0" applyNumberFormat="1" applyFont="1" applyFill="1" applyAlignment="1">
      <alignment vertical="center"/>
    </xf>
    <xf numFmtId="166" fontId="7" fillId="17" borderId="10" xfId="0" applyNumberFormat="1" applyFont="1" applyFill="1" applyBorder="1" applyAlignment="1">
      <alignment horizontal="center" vertical="center"/>
    </xf>
    <xf numFmtId="165" fontId="11" fillId="5" borderId="0" xfId="1" applyNumberFormat="1" applyFont="1" applyFill="1"/>
    <xf numFmtId="165" fontId="11" fillId="5" borderId="12" xfId="1" applyNumberFormat="1" applyFont="1" applyFill="1" applyBorder="1"/>
    <xf numFmtId="10" fontId="6" fillId="12" borderId="1" xfId="0" applyNumberFormat="1" applyFont="1" applyFill="1" applyBorder="1" applyAlignment="1">
      <alignment horizontal="center"/>
    </xf>
    <xf numFmtId="9" fontId="10" fillId="2" borderId="0" xfId="0" applyNumberFormat="1" applyFont="1" applyFill="1" applyAlignment="1">
      <alignment horizontal="center"/>
    </xf>
    <xf numFmtId="0" fontId="10" fillId="10" borderId="8" xfId="0" applyFont="1" applyFill="1" applyBorder="1"/>
    <xf numFmtId="0" fontId="10" fillId="10" borderId="3" xfId="0" applyFont="1" applyFill="1" applyBorder="1"/>
    <xf numFmtId="0" fontId="10" fillId="10" borderId="0" xfId="0" applyFont="1" applyFill="1" applyBorder="1"/>
    <xf numFmtId="0" fontId="10" fillId="10" borderId="5" xfId="0" applyFont="1" applyFill="1" applyBorder="1"/>
    <xf numFmtId="0" fontId="10" fillId="10" borderId="9" xfId="0" applyFont="1" applyFill="1" applyBorder="1"/>
    <xf numFmtId="0" fontId="10" fillId="10" borderId="7" xfId="0" applyFont="1" applyFill="1" applyBorder="1"/>
    <xf numFmtId="0" fontId="10" fillId="10" borderId="8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vertical="center"/>
    </xf>
    <xf numFmtId="0" fontId="19" fillId="10" borderId="0" xfId="0" applyFont="1" applyFill="1" applyBorder="1" applyAlignment="1">
      <alignment horizontal="center"/>
    </xf>
    <xf numFmtId="0" fontId="19" fillId="10" borderId="0" xfId="0" applyFont="1" applyFill="1" applyBorder="1"/>
    <xf numFmtId="0" fontId="19" fillId="10" borderId="9" xfId="0" applyFont="1" applyFill="1" applyBorder="1" applyAlignment="1">
      <alignment horizontal="center"/>
    </xf>
    <xf numFmtId="0" fontId="19" fillId="10" borderId="9" xfId="0" applyFont="1" applyFill="1" applyBorder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/>
    <xf numFmtId="0" fontId="23" fillId="10" borderId="2" xfId="0" applyFont="1" applyFill="1" applyBorder="1"/>
    <xf numFmtId="0" fontId="23" fillId="10" borderId="4" xfId="0" applyFont="1" applyFill="1" applyBorder="1"/>
    <xf numFmtId="0" fontId="23" fillId="10" borderId="0" xfId="0" applyFont="1" applyFill="1" applyBorder="1"/>
    <xf numFmtId="0" fontId="24" fillId="10" borderId="4" xfId="0" applyFont="1" applyFill="1" applyBorder="1"/>
    <xf numFmtId="0" fontId="24" fillId="10" borderId="6" xfId="0" applyFont="1" applyFill="1" applyBorder="1"/>
    <xf numFmtId="0" fontId="23" fillId="10" borderId="6" xfId="0" applyFont="1" applyFill="1" applyBorder="1" applyAlignment="1">
      <alignment vertical="center"/>
    </xf>
    <xf numFmtId="0" fontId="23" fillId="10" borderId="6" xfId="0" applyFont="1" applyFill="1" applyBorder="1"/>
    <xf numFmtId="0" fontId="11" fillId="12" borderId="0" xfId="0" applyFont="1" applyFill="1"/>
    <xf numFmtId="0" fontId="6" fillId="12" borderId="0" xfId="0" applyFont="1" applyFill="1"/>
    <xf numFmtId="0" fontId="23" fillId="0" borderId="0" xfId="0" applyFont="1"/>
    <xf numFmtId="10" fontId="10" fillId="10" borderId="3" xfId="0" applyNumberFormat="1" applyFont="1" applyFill="1" applyBorder="1"/>
    <xf numFmtId="10" fontId="10" fillId="10" borderId="5" xfId="0" applyNumberFormat="1" applyFont="1" applyFill="1" applyBorder="1"/>
    <xf numFmtId="9" fontId="10" fillId="10" borderId="7" xfId="0" applyNumberFormat="1" applyFont="1" applyFill="1" applyBorder="1"/>
    <xf numFmtId="0" fontId="23" fillId="10" borderId="8" xfId="0" applyFont="1" applyFill="1" applyBorder="1"/>
    <xf numFmtId="1" fontId="10" fillId="10" borderId="3" xfId="0" applyNumberFormat="1" applyFont="1" applyFill="1" applyBorder="1"/>
    <xf numFmtId="1" fontId="10" fillId="10" borderId="5" xfId="0" applyNumberFormat="1" applyFont="1" applyFill="1" applyBorder="1"/>
    <xf numFmtId="3" fontId="10" fillId="10" borderId="9" xfId="0" applyNumberFormat="1" applyFont="1" applyFill="1" applyBorder="1"/>
    <xf numFmtId="1" fontId="10" fillId="10" borderId="7" xfId="0" applyNumberFormat="1" applyFont="1" applyFill="1" applyBorder="1"/>
    <xf numFmtId="0" fontId="26" fillId="10" borderId="2" xfId="0" applyFont="1" applyFill="1" applyBorder="1"/>
    <xf numFmtId="6" fontId="10" fillId="10" borderId="0" xfId="0" applyNumberFormat="1" applyFont="1" applyFill="1" applyBorder="1"/>
    <xf numFmtId="6" fontId="10" fillId="10" borderId="9" xfId="0" applyNumberFormat="1" applyFont="1" applyFill="1" applyBorder="1"/>
    <xf numFmtId="0" fontId="23" fillId="10" borderId="9" xfId="0" applyFont="1" applyFill="1" applyBorder="1"/>
    <xf numFmtId="0" fontId="23" fillId="0" borderId="0" xfId="0" applyFont="1" applyAlignment="1">
      <alignment horizontal="center"/>
    </xf>
    <xf numFmtId="9" fontId="23" fillId="2" borderId="0" xfId="0" applyNumberFormat="1" applyFont="1" applyFill="1" applyAlignment="1">
      <alignment horizontal="center"/>
    </xf>
    <xf numFmtId="9" fontId="23" fillId="0" borderId="0" xfId="0" applyNumberFormat="1" applyFont="1" applyFill="1" applyAlignment="1">
      <alignment horizontal="center"/>
    </xf>
    <xf numFmtId="9" fontId="23" fillId="0" borderId="0" xfId="0" applyNumberFormat="1" applyFont="1" applyFill="1"/>
    <xf numFmtId="165" fontId="23" fillId="0" borderId="0" xfId="314" applyNumberFormat="1" applyFont="1" applyFill="1"/>
    <xf numFmtId="0" fontId="27" fillId="0" borderId="0" xfId="0" applyFont="1"/>
    <xf numFmtId="0" fontId="23" fillId="0" borderId="0" xfId="0" applyFont="1" applyAlignment="1">
      <alignment wrapText="1"/>
    </xf>
    <xf numFmtId="0" fontId="23" fillId="0" borderId="0" xfId="0" applyFont="1" applyFill="1" applyAlignment="1">
      <alignment vertical="center"/>
    </xf>
    <xf numFmtId="6" fontId="23" fillId="0" borderId="0" xfId="0" applyNumberFormat="1" applyFont="1" applyFill="1" applyAlignment="1">
      <alignment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/>
    <xf numFmtId="1" fontId="7" fillId="13" borderId="51" xfId="0" applyNumberFormat="1" applyFont="1" applyFill="1" applyBorder="1" applyAlignment="1">
      <alignment vertical="center" wrapText="1"/>
    </xf>
    <xf numFmtId="1" fontId="7" fillId="0" borderId="8" xfId="0" applyNumberFormat="1" applyFont="1" applyFill="1" applyBorder="1" applyAlignment="1">
      <alignment vertical="center" wrapText="1"/>
    </xf>
    <xf numFmtId="1" fontId="15" fillId="0" borderId="8" xfId="0" applyNumberFormat="1" applyFont="1" applyFill="1" applyBorder="1"/>
    <xf numFmtId="1" fontId="6" fillId="0" borderId="8" xfId="0" applyNumberFormat="1" applyFont="1" applyFill="1" applyBorder="1" applyAlignment="1">
      <alignment wrapText="1"/>
    </xf>
    <xf numFmtId="1" fontId="7" fillId="0" borderId="0" xfId="0" applyNumberFormat="1" applyFont="1" applyFill="1" applyBorder="1"/>
    <xf numFmtId="38" fontId="11" fillId="0" borderId="44" xfId="1" applyNumberFormat="1" applyFont="1" applyFill="1" applyBorder="1" applyAlignment="1">
      <alignment vertical="center"/>
    </xf>
    <xf numFmtId="38" fontId="11" fillId="0" borderId="1" xfId="1" applyNumberFormat="1" applyFont="1" applyFill="1" applyBorder="1" applyAlignment="1">
      <alignment vertical="center"/>
    </xf>
    <xf numFmtId="38" fontId="11" fillId="0" borderId="45" xfId="1" applyNumberFormat="1" applyFont="1" applyFill="1" applyBorder="1" applyAlignment="1">
      <alignment vertical="center"/>
    </xf>
    <xf numFmtId="1" fontId="7" fillId="13" borderId="41" xfId="0" applyNumberFormat="1" applyFont="1" applyFill="1" applyBorder="1" applyAlignment="1">
      <alignment vertical="center"/>
    </xf>
    <xf numFmtId="1" fontId="7" fillId="13" borderId="52" xfId="0" applyNumberFormat="1" applyFont="1" applyFill="1" applyBorder="1" applyAlignment="1">
      <alignment vertical="center"/>
    </xf>
    <xf numFmtId="165" fontId="16" fillId="13" borderId="40" xfId="1" applyNumberFormat="1" applyFont="1" applyFill="1" applyBorder="1"/>
    <xf numFmtId="165" fontId="16" fillId="13" borderId="34" xfId="314" applyNumberFormat="1" applyFont="1" applyFill="1" applyBorder="1"/>
    <xf numFmtId="165" fontId="16" fillId="13" borderId="33" xfId="314" applyNumberFormat="1" applyFont="1" applyFill="1" applyBorder="1"/>
    <xf numFmtId="165" fontId="16" fillId="13" borderId="32" xfId="314" applyNumberFormat="1" applyFont="1" applyFill="1" applyBorder="1"/>
    <xf numFmtId="38" fontId="16" fillId="13" borderId="44" xfId="1" applyNumberFormat="1" applyFont="1" applyFill="1" applyBorder="1" applyAlignment="1">
      <alignment vertical="center"/>
    </xf>
    <xf numFmtId="38" fontId="16" fillId="13" borderId="1" xfId="1" applyNumberFormat="1" applyFont="1" applyFill="1" applyBorder="1" applyAlignment="1">
      <alignment vertical="center"/>
    </xf>
    <xf numFmtId="38" fontId="16" fillId="13" borderId="45" xfId="1" applyNumberFormat="1" applyFont="1" applyFill="1" applyBorder="1" applyAlignment="1">
      <alignment vertical="center"/>
    </xf>
    <xf numFmtId="0" fontId="23" fillId="7" borderId="0" xfId="0" applyFont="1" applyFill="1"/>
    <xf numFmtId="0" fontId="10" fillId="7" borderId="0" xfId="0" applyFont="1" applyFill="1"/>
    <xf numFmtId="0" fontId="23" fillId="7" borderId="0" xfId="0" applyFont="1" applyFill="1" applyAlignment="1">
      <alignment horizontal="left" vertical="center"/>
    </xf>
    <xf numFmtId="0" fontId="23" fillId="7" borderId="0" xfId="0" applyFont="1" applyFill="1" applyAlignment="1">
      <alignment horizontal="center" vertical="center" shrinkToFit="1"/>
    </xf>
    <xf numFmtId="0" fontId="23" fillId="7" borderId="0" xfId="0" applyFont="1" applyFill="1" applyAlignment="1">
      <alignment vertical="center"/>
    </xf>
    <xf numFmtId="0" fontId="10" fillId="7" borderId="7" xfId="0" applyFont="1" applyFill="1" applyBorder="1"/>
    <xf numFmtId="0" fontId="10" fillId="7" borderId="5" xfId="0" applyFont="1" applyFill="1" applyBorder="1"/>
    <xf numFmtId="0" fontId="10" fillId="4" borderId="2" xfId="0" applyFont="1" applyFill="1" applyBorder="1"/>
    <xf numFmtId="0" fontId="10" fillId="4" borderId="12" xfId="0" applyFont="1" applyFill="1" applyBorder="1"/>
    <xf numFmtId="0" fontId="10" fillId="4" borderId="6" xfId="0" applyFont="1" applyFill="1" applyBorder="1"/>
    <xf numFmtId="0" fontId="10" fillId="4" borderId="4" xfId="0" applyFont="1" applyFill="1" applyBorder="1"/>
    <xf numFmtId="10" fontId="10" fillId="4" borderId="4" xfId="0" applyNumberFormat="1" applyFont="1" applyFill="1" applyBorder="1"/>
    <xf numFmtId="10" fontId="10" fillId="4" borderId="12" xfId="0" applyNumberFormat="1" applyFont="1" applyFill="1" applyBorder="1"/>
    <xf numFmtId="10" fontId="10" fillId="4" borderId="6" xfId="0" applyNumberFormat="1" applyFont="1" applyFill="1" applyBorder="1"/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23" fillId="0" borderId="0" xfId="0" applyFont="1" applyFill="1" applyAlignment="1">
      <alignment wrapText="1"/>
    </xf>
    <xf numFmtId="0" fontId="23" fillId="0" borderId="0" xfId="0" applyFont="1" applyAlignment="1"/>
    <xf numFmtId="0" fontId="23" fillId="7" borderId="0" xfId="0" applyFont="1" applyFill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 wrapText="1"/>
    </xf>
    <xf numFmtId="0" fontId="7" fillId="16" borderId="0" xfId="0" applyFont="1" applyFill="1" applyAlignment="1">
      <alignment horizontal="center"/>
    </xf>
    <xf numFmtId="0" fontId="7" fillId="16" borderId="9" xfId="0" applyFont="1" applyFill="1" applyBorder="1" applyAlignment="1">
      <alignment horizontal="center" vertical="center"/>
    </xf>
    <xf numFmtId="1" fontId="10" fillId="0" borderId="0" xfId="0" applyNumberFormat="1" applyFont="1"/>
  </cellXfs>
  <cellStyles count="629">
    <cellStyle name="Comma" xfId="1" builtinId="3"/>
    <cellStyle name="Comma 2" xfId="31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/Downloads/%2011th%20Dec%202014%20Financial%20Plan%20-%20Sohomuse%20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stRev comparison"/>
      <sheetName val="Cost Plan (monthly $)"/>
      <sheetName val="Cost Assumptions"/>
      <sheetName val="Cost Assumptions (basic)"/>
      <sheetName val="Revenue Assumptions"/>
      <sheetName val="Cost Plan (monthly £)"/>
      <sheetName val="Cost Plan"/>
      <sheetName val="Revenue examples revised"/>
      <sheetName val="Revenue examples"/>
      <sheetName val="Assumptions"/>
      <sheetName val="Research"/>
      <sheetName val="Considerations"/>
      <sheetName val="Missing Elementfunctionality"/>
    </sheetNames>
    <sheetDataSet>
      <sheetData sheetId="0"/>
      <sheetData sheetId="1"/>
      <sheetData sheetId="2">
        <row r="3">
          <cell r="F3">
            <v>0.15</v>
          </cell>
          <cell r="G3">
            <v>0.15</v>
          </cell>
          <cell r="H3">
            <v>0.15</v>
          </cell>
          <cell r="I3">
            <v>0.15</v>
          </cell>
        </row>
        <row r="53">
          <cell r="E53">
            <v>0.1</v>
          </cell>
        </row>
      </sheetData>
      <sheetData sheetId="3">
        <row r="63">
          <cell r="E63">
            <v>381925</v>
          </cell>
        </row>
      </sheetData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T79"/>
  <sheetViews>
    <sheetView tabSelected="1" zoomScale="125" zoomScaleNormal="125" zoomScalePageLayoutView="125" workbookViewId="0">
      <selection activeCell="Z96" sqref="Z96"/>
    </sheetView>
  </sheetViews>
  <sheetFormatPr baseColWidth="10" defaultColWidth="10.83203125" defaultRowHeight="16" x14ac:dyDescent="0"/>
  <cols>
    <col min="1" max="1" width="10.83203125" style="5"/>
    <col min="2" max="2" width="37.1640625" style="5" customWidth="1"/>
    <col min="3" max="3" width="10.6640625" style="5" customWidth="1"/>
    <col min="4" max="4" width="13.33203125" style="5" customWidth="1"/>
    <col min="5" max="5" width="8.33203125" style="5" hidden="1" customWidth="1"/>
    <col min="6" max="6" width="9.5" style="5" hidden="1" customWidth="1"/>
    <col min="7" max="7" width="8.33203125" style="5" hidden="1" customWidth="1"/>
    <col min="8" max="8" width="12.5" style="5" hidden="1" customWidth="1"/>
    <col min="9" max="11" width="9.5" style="5" hidden="1" customWidth="1"/>
    <col min="12" max="12" width="12.83203125" style="5" hidden="1" customWidth="1"/>
    <col min="13" max="15" width="10" style="5" hidden="1" customWidth="1"/>
    <col min="16" max="16" width="16.1640625" style="5" hidden="1" customWidth="1"/>
    <col min="17" max="19" width="10.1640625" style="5" hidden="1" customWidth="1"/>
    <col min="20" max="20" width="16.1640625" style="5" hidden="1" customWidth="1"/>
    <col min="21" max="21" width="17.1640625" style="5" customWidth="1"/>
    <col min="22" max="22" width="16.1640625" style="5" hidden="1" customWidth="1"/>
    <col min="23" max="25" width="14.6640625" style="5" hidden="1" customWidth="1"/>
    <col min="26" max="26" width="14.6640625" style="5" customWidth="1"/>
    <col min="27" max="30" width="16.1640625" style="5" hidden="1" customWidth="1"/>
    <col min="31" max="31" width="14.83203125" style="5" customWidth="1"/>
    <col min="32" max="35" width="16.1640625" style="5" hidden="1" customWidth="1"/>
    <col min="36" max="36" width="14.83203125" style="5" customWidth="1"/>
    <col min="37" max="40" width="16.1640625" style="5" hidden="1" customWidth="1"/>
    <col min="41" max="41" width="14.83203125" style="5" customWidth="1"/>
    <col min="42" max="46" width="16.5" style="5" hidden="1" customWidth="1"/>
    <col min="47" max="16384" width="10.83203125" style="5"/>
  </cols>
  <sheetData>
    <row r="1" spans="1:46" ht="18">
      <c r="B1" s="97" t="s">
        <v>215</v>
      </c>
    </row>
    <row r="2" spans="1:46" ht="18">
      <c r="B2" s="97"/>
    </row>
    <row r="3" spans="1:46">
      <c r="B3" s="159" t="s">
        <v>229</v>
      </c>
      <c r="D3" s="284">
        <f>Valuation!$B$3</f>
        <v>4000000</v>
      </c>
    </row>
    <row r="4" spans="1:46" ht="18" hidden="1">
      <c r="B4" s="97"/>
    </row>
    <row r="5" spans="1:46" hidden="1">
      <c r="B5" s="5" t="s">
        <v>209</v>
      </c>
      <c r="D5" s="205">
        <f>1</f>
        <v>1</v>
      </c>
      <c r="V5" s="381" t="s">
        <v>141</v>
      </c>
      <c r="W5" s="98">
        <f>'Cost Assumptions'!B3</f>
        <v>0.15</v>
      </c>
      <c r="AA5" s="381" t="s">
        <v>142</v>
      </c>
      <c r="AB5" s="98">
        <f>'Cost Assumptions'!C3</f>
        <v>0.15</v>
      </c>
      <c r="AF5" s="381" t="s">
        <v>143</v>
      </c>
      <c r="AG5" s="98">
        <f>'Cost Assumptions'!D3</f>
        <v>0.15</v>
      </c>
      <c r="AK5" s="381" t="s">
        <v>144</v>
      </c>
      <c r="AL5" s="98">
        <f>'Cost Assumptions'!E3</f>
        <v>0.15</v>
      </c>
      <c r="AP5" s="381" t="s">
        <v>269</v>
      </c>
      <c r="AQ5" s="98">
        <f>'Cost Assumptions'!F3</f>
        <v>0.15</v>
      </c>
    </row>
    <row r="6" spans="1:46" ht="17" thickBot="1"/>
    <row r="7" spans="1:46" ht="27" customHeight="1">
      <c r="A7" s="99"/>
      <c r="B7" s="168"/>
      <c r="C7" s="169" t="s">
        <v>145</v>
      </c>
      <c r="D7" s="108"/>
      <c r="E7" s="162" t="s">
        <v>146</v>
      </c>
      <c r="F7" s="100" t="s">
        <v>147</v>
      </c>
      <c r="G7" s="100" t="s">
        <v>148</v>
      </c>
      <c r="H7" s="101" t="s">
        <v>149</v>
      </c>
      <c r="I7" s="100" t="s">
        <v>150</v>
      </c>
      <c r="J7" s="100" t="s">
        <v>151</v>
      </c>
      <c r="K7" s="100" t="s">
        <v>152</v>
      </c>
      <c r="L7" s="101" t="s">
        <v>153</v>
      </c>
      <c r="M7" s="100" t="s">
        <v>154</v>
      </c>
      <c r="N7" s="100" t="s">
        <v>155</v>
      </c>
      <c r="O7" s="100" t="s">
        <v>156</v>
      </c>
      <c r="P7" s="101" t="s">
        <v>157</v>
      </c>
      <c r="Q7" s="100" t="s">
        <v>158</v>
      </c>
      <c r="R7" s="100" t="s">
        <v>159</v>
      </c>
      <c r="S7" s="100" t="s">
        <v>160</v>
      </c>
      <c r="T7" s="102" t="s">
        <v>161</v>
      </c>
      <c r="U7" s="103" t="s">
        <v>2</v>
      </c>
      <c r="V7" s="104" t="s">
        <v>162</v>
      </c>
      <c r="W7" s="105" t="s">
        <v>163</v>
      </c>
      <c r="X7" s="105" t="s">
        <v>164</v>
      </c>
      <c r="Y7" s="105" t="s">
        <v>165</v>
      </c>
      <c r="Z7" s="106" t="s">
        <v>3</v>
      </c>
      <c r="AA7" s="104" t="s">
        <v>166</v>
      </c>
      <c r="AB7" s="105" t="s">
        <v>167</v>
      </c>
      <c r="AC7" s="105" t="s">
        <v>168</v>
      </c>
      <c r="AD7" s="105" t="s">
        <v>169</v>
      </c>
      <c r="AE7" s="106" t="s">
        <v>22</v>
      </c>
      <c r="AF7" s="104" t="s">
        <v>170</v>
      </c>
      <c r="AG7" s="105" t="s">
        <v>171</v>
      </c>
      <c r="AH7" s="105" t="s">
        <v>172</v>
      </c>
      <c r="AI7" s="107" t="s">
        <v>173</v>
      </c>
      <c r="AJ7" s="108" t="s">
        <v>5</v>
      </c>
      <c r="AK7" s="104" t="s">
        <v>174</v>
      </c>
      <c r="AL7" s="105" t="s">
        <v>175</v>
      </c>
      <c r="AM7" s="105" t="s">
        <v>176</v>
      </c>
      <c r="AN7" s="105" t="s">
        <v>177</v>
      </c>
      <c r="AO7" s="106" t="s">
        <v>48</v>
      </c>
      <c r="AP7" s="104" t="s">
        <v>265</v>
      </c>
      <c r="AQ7" s="105" t="s">
        <v>266</v>
      </c>
      <c r="AR7" s="105" t="s">
        <v>267</v>
      </c>
      <c r="AS7" s="107" t="s">
        <v>268</v>
      </c>
      <c r="AT7" s="108" t="s">
        <v>258</v>
      </c>
    </row>
    <row r="8" spans="1:46" ht="25" hidden="1" customHeight="1">
      <c r="B8" s="124" t="s">
        <v>201</v>
      </c>
      <c r="C8" s="206"/>
      <c r="D8" s="207"/>
      <c r="E8" s="208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10"/>
      <c r="U8" s="211"/>
      <c r="V8" s="211"/>
      <c r="W8" s="211"/>
      <c r="X8" s="211"/>
      <c r="Y8" s="211"/>
      <c r="Z8" s="211"/>
      <c r="AA8" s="212"/>
      <c r="AB8" s="209"/>
      <c r="AC8" s="209"/>
      <c r="AD8" s="209"/>
      <c r="AE8" s="213"/>
      <c r="AF8" s="212"/>
      <c r="AG8" s="209"/>
      <c r="AH8" s="209"/>
      <c r="AI8" s="209"/>
      <c r="AJ8" s="213"/>
      <c r="AK8" s="212"/>
      <c r="AL8" s="209"/>
      <c r="AM8" s="209"/>
      <c r="AN8" s="210"/>
      <c r="AO8" s="207"/>
      <c r="AP8" s="212"/>
      <c r="AQ8" s="209"/>
      <c r="AR8" s="209"/>
      <c r="AS8" s="209"/>
      <c r="AT8" s="213"/>
    </row>
    <row r="9" spans="1:46" hidden="1">
      <c r="A9" s="109" t="s">
        <v>178</v>
      </c>
      <c r="B9" s="171" t="str">
        <f>'Subscriber growth'!C14</f>
        <v>HQ Team</v>
      </c>
      <c r="C9" s="172"/>
      <c r="D9" s="173"/>
      <c r="E9" s="163"/>
      <c r="F9" s="111"/>
      <c r="G9" s="111"/>
      <c r="H9" s="112"/>
      <c r="I9" s="111"/>
      <c r="J9" s="111"/>
      <c r="K9" s="111"/>
      <c r="L9" s="112"/>
      <c r="M9" s="111"/>
      <c r="N9" s="111"/>
      <c r="O9" s="111"/>
      <c r="P9" s="112"/>
      <c r="Q9" s="111"/>
      <c r="R9" s="111"/>
      <c r="S9" s="111"/>
      <c r="T9" s="113"/>
      <c r="U9" s="114"/>
      <c r="V9" s="114"/>
      <c r="W9" s="114"/>
      <c r="X9" s="114"/>
      <c r="Y9" s="114"/>
      <c r="Z9" s="114">
        <f>'Subscriber growth'!E14</f>
        <v>0</v>
      </c>
      <c r="AA9" s="110"/>
      <c r="AB9" s="111"/>
      <c r="AC9" s="111"/>
      <c r="AD9" s="111"/>
      <c r="AE9" s="115">
        <f>'Subscriber growth'!H14</f>
        <v>9000</v>
      </c>
      <c r="AF9" s="110"/>
      <c r="AG9" s="111"/>
      <c r="AH9" s="111"/>
      <c r="AI9" s="111"/>
      <c r="AJ9" s="114">
        <f>'Subscriber growth'!K14</f>
        <v>17100</v>
      </c>
      <c r="AK9" s="110"/>
      <c r="AL9" s="111"/>
      <c r="AM9" s="111"/>
      <c r="AN9" s="111"/>
      <c r="AO9" s="115">
        <f>'Subscriber growth'!N14</f>
        <v>32985</v>
      </c>
      <c r="AP9" s="110"/>
      <c r="AQ9" s="111"/>
      <c r="AR9" s="111"/>
      <c r="AS9" s="111"/>
      <c r="AT9" s="115">
        <f>'Subscriber growth'!Q14</f>
        <v>46937.25</v>
      </c>
    </row>
    <row r="10" spans="1:46" hidden="1">
      <c r="B10" s="171" t="str">
        <f>'Subscriber growth'!C24</f>
        <v>Ambassadors</v>
      </c>
      <c r="C10" s="172"/>
      <c r="D10" s="173"/>
      <c r="E10" s="163"/>
      <c r="F10" s="111"/>
      <c r="G10" s="111"/>
      <c r="H10" s="112"/>
      <c r="I10" s="111"/>
      <c r="J10" s="111"/>
      <c r="K10" s="111"/>
      <c r="L10" s="112"/>
      <c r="M10" s="111"/>
      <c r="N10" s="111"/>
      <c r="O10" s="111"/>
      <c r="P10" s="112"/>
      <c r="Q10" s="111"/>
      <c r="R10" s="111"/>
      <c r="S10" s="111"/>
      <c r="T10" s="113"/>
      <c r="U10" s="114"/>
      <c r="V10" s="114"/>
      <c r="W10" s="114"/>
      <c r="X10" s="114"/>
      <c r="Y10" s="114"/>
      <c r="Z10" s="114">
        <f>'Subscriber growth'!E24</f>
        <v>0</v>
      </c>
      <c r="AA10" s="110"/>
      <c r="AB10" s="111"/>
      <c r="AC10" s="111"/>
      <c r="AD10" s="111"/>
      <c r="AE10" s="115">
        <f>'Subscriber growth'!H24</f>
        <v>456000</v>
      </c>
      <c r="AF10" s="110"/>
      <c r="AG10" s="111"/>
      <c r="AH10" s="111"/>
      <c r="AI10" s="111"/>
      <c r="AJ10" s="114">
        <f>'Subscriber growth'!K24</f>
        <v>866400</v>
      </c>
      <c r="AK10" s="110"/>
      <c r="AL10" s="111"/>
      <c r="AM10" s="111"/>
      <c r="AN10" s="116"/>
      <c r="AO10" s="115">
        <f>'Subscriber growth'!N24</f>
        <v>1234619.9999999998</v>
      </c>
      <c r="AP10" s="110"/>
      <c r="AQ10" s="111"/>
      <c r="AR10" s="111"/>
      <c r="AS10" s="111"/>
      <c r="AT10" s="115">
        <f>'Subscriber growth'!Q24</f>
        <v>1563851.9999999998</v>
      </c>
    </row>
    <row r="11" spans="1:46" hidden="1">
      <c r="B11" s="171" t="str">
        <f>'Subscriber growth'!C33</f>
        <v>Outbound Marketing</v>
      </c>
      <c r="C11" s="172"/>
      <c r="D11" s="173"/>
      <c r="E11" s="163"/>
      <c r="F11" s="111"/>
      <c r="G11" s="111"/>
      <c r="H11" s="112"/>
      <c r="I11" s="111"/>
      <c r="J11" s="111"/>
      <c r="K11" s="111"/>
      <c r="L11" s="112"/>
      <c r="M11" s="111"/>
      <c r="N11" s="111"/>
      <c r="O11" s="111"/>
      <c r="P11" s="112"/>
      <c r="Q11" s="111"/>
      <c r="R11" s="111"/>
      <c r="S11" s="111"/>
      <c r="T11" s="113"/>
      <c r="U11" s="114"/>
      <c r="V11" s="114"/>
      <c r="W11" s="114"/>
      <c r="X11" s="114"/>
      <c r="Y11" s="114"/>
      <c r="Z11" s="114">
        <f>'Subscriber growth'!E33</f>
        <v>0</v>
      </c>
      <c r="AA11" s="110"/>
      <c r="AB11" s="111"/>
      <c r="AC11" s="111"/>
      <c r="AD11" s="111"/>
      <c r="AE11" s="115">
        <f>'Subscriber growth'!H33</f>
        <v>1300000</v>
      </c>
      <c r="AF11" s="110"/>
      <c r="AG11" s="111"/>
      <c r="AH11" s="111"/>
      <c r="AI11" s="111"/>
      <c r="AJ11" s="114">
        <f>'Subscriber growth'!K33</f>
        <v>4220000</v>
      </c>
      <c r="AK11" s="110"/>
      <c r="AL11" s="111"/>
      <c r="AM11" s="111"/>
      <c r="AN11" s="116"/>
      <c r="AO11" s="115">
        <f>'Subscriber growth'!N33</f>
        <v>9817000</v>
      </c>
      <c r="AP11" s="110"/>
      <c r="AQ11" s="111"/>
      <c r="AR11" s="111"/>
      <c r="AS11" s="111"/>
      <c r="AT11" s="115">
        <f>'Subscriber growth'!Q33</f>
        <v>20804450</v>
      </c>
    </row>
    <row r="12" spans="1:46" ht="17" hidden="1" thickBot="1">
      <c r="B12" s="171" t="str">
        <f>'Subscriber growth'!C42</f>
        <v>Client gets Client</v>
      </c>
      <c r="C12" s="172"/>
      <c r="D12" s="173"/>
      <c r="E12" s="163"/>
      <c r="F12" s="111"/>
      <c r="G12" s="111"/>
      <c r="H12" s="112"/>
      <c r="I12" s="111"/>
      <c r="J12" s="111"/>
      <c r="K12" s="111"/>
      <c r="L12" s="112"/>
      <c r="M12" s="111"/>
      <c r="N12" s="111"/>
      <c r="O12" s="111"/>
      <c r="P12" s="112"/>
      <c r="Q12" s="111"/>
      <c r="R12" s="111"/>
      <c r="S12" s="111"/>
      <c r="T12" s="113"/>
      <c r="U12" s="114"/>
      <c r="V12" s="114"/>
      <c r="W12" s="114"/>
      <c r="X12" s="114"/>
      <c r="Y12" s="114"/>
      <c r="Z12" s="114">
        <f>'Subscriber growth'!E42</f>
        <v>0</v>
      </c>
      <c r="AA12" s="110"/>
      <c r="AB12" s="111"/>
      <c r="AC12" s="111"/>
      <c r="AD12" s="111"/>
      <c r="AE12" s="115">
        <f>'Subscriber growth'!H42</f>
        <v>1764000</v>
      </c>
      <c r="AF12" s="110"/>
      <c r="AG12" s="111"/>
      <c r="AH12" s="111"/>
      <c r="AI12" s="111"/>
      <c r="AJ12" s="114">
        <f>'Subscriber growth'!K42</f>
        <v>3265200</v>
      </c>
      <c r="AK12" s="110"/>
      <c r="AL12" s="111"/>
      <c r="AM12" s="111"/>
      <c r="AN12" s="116"/>
      <c r="AO12" s="115">
        <f>'Subscriber growth'!N42</f>
        <v>4672100</v>
      </c>
      <c r="AP12" s="110"/>
      <c r="AQ12" s="111"/>
      <c r="AR12" s="111"/>
      <c r="AS12" s="111"/>
      <c r="AT12" s="115">
        <f>'Subscriber growth'!Q42</f>
        <v>5788085</v>
      </c>
    </row>
    <row r="13" spans="1:46" ht="21" hidden="1" customHeight="1">
      <c r="B13" s="117" t="s">
        <v>214</v>
      </c>
      <c r="C13" s="118"/>
      <c r="D13" s="119"/>
      <c r="E13" s="163"/>
      <c r="F13" s="111"/>
      <c r="G13" s="111"/>
      <c r="H13" s="112"/>
      <c r="I13" s="111"/>
      <c r="J13" s="111"/>
      <c r="K13" s="111"/>
      <c r="L13" s="112"/>
      <c r="M13" s="111"/>
      <c r="N13" s="111"/>
      <c r="O13" s="111"/>
      <c r="P13" s="112"/>
      <c r="Q13" s="111"/>
      <c r="R13" s="111"/>
      <c r="S13" s="111"/>
      <c r="T13" s="113"/>
      <c r="U13" s="223"/>
      <c r="V13" s="223"/>
      <c r="W13" s="223"/>
      <c r="X13" s="223"/>
      <c r="Y13" s="223"/>
      <c r="Z13" s="223">
        <f>SUM(Z9:Z12)</f>
        <v>0</v>
      </c>
      <c r="AA13" s="224"/>
      <c r="AB13" s="224"/>
      <c r="AC13" s="224"/>
      <c r="AD13" s="224"/>
      <c r="AE13" s="224">
        <f>SUM(AE9:AE12)</f>
        <v>3529000</v>
      </c>
      <c r="AF13" s="224"/>
      <c r="AG13" s="224"/>
      <c r="AH13" s="224"/>
      <c r="AI13" s="224"/>
      <c r="AJ13" s="224">
        <f>SUM(AJ9:AJ12)</f>
        <v>8368700</v>
      </c>
      <c r="AK13" s="224"/>
      <c r="AL13" s="224"/>
      <c r="AM13" s="224"/>
      <c r="AN13" s="224"/>
      <c r="AO13" s="224">
        <f>SUM(AO9:AO12)</f>
        <v>15756705</v>
      </c>
      <c r="AP13" s="224"/>
      <c r="AQ13" s="224"/>
      <c r="AR13" s="224"/>
      <c r="AS13" s="224"/>
      <c r="AT13" s="225">
        <f>SUM(AT9:AT12)</f>
        <v>28203324.25</v>
      </c>
    </row>
    <row r="14" spans="1:46" hidden="1">
      <c r="B14" s="171"/>
      <c r="C14" s="172"/>
      <c r="D14" s="173"/>
      <c r="E14" s="163"/>
      <c r="F14" s="111"/>
      <c r="G14" s="111"/>
      <c r="H14" s="112"/>
      <c r="I14" s="111"/>
      <c r="J14" s="111"/>
      <c r="K14" s="111"/>
      <c r="L14" s="112"/>
      <c r="M14" s="111"/>
      <c r="N14" s="111"/>
      <c r="O14" s="111"/>
      <c r="P14" s="112"/>
      <c r="Q14" s="111"/>
      <c r="R14" s="111"/>
      <c r="S14" s="111"/>
      <c r="T14" s="113"/>
      <c r="U14" s="217"/>
      <c r="V14" s="217"/>
      <c r="W14" s="217"/>
      <c r="X14" s="217"/>
      <c r="Y14" s="217"/>
      <c r="Z14" s="217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  <c r="AP14" s="218"/>
      <c r="AQ14" s="218"/>
      <c r="AR14" s="218"/>
      <c r="AS14" s="218"/>
      <c r="AT14" s="219"/>
    </row>
    <row r="15" spans="1:46" ht="21" hidden="1" customHeight="1">
      <c r="B15" s="174" t="str">
        <f>'Subscriber growth'!C51</f>
        <v>Corporates</v>
      </c>
      <c r="C15" s="172"/>
      <c r="D15" s="173"/>
      <c r="E15" s="164"/>
      <c r="F15" s="121"/>
      <c r="G15" s="121"/>
      <c r="H15" s="122">
        <f>SUM(H10:H14)</f>
        <v>0</v>
      </c>
      <c r="I15" s="121"/>
      <c r="J15" s="121"/>
      <c r="K15" s="121"/>
      <c r="L15" s="122">
        <f t="shared" ref="L15:Y15" si="0">SUM(L10:L14)</f>
        <v>0</v>
      </c>
      <c r="M15" s="121"/>
      <c r="N15" s="121"/>
      <c r="O15" s="121"/>
      <c r="P15" s="122">
        <f t="shared" si="0"/>
        <v>0</v>
      </c>
      <c r="Q15" s="121"/>
      <c r="R15" s="121"/>
      <c r="S15" s="121"/>
      <c r="T15" s="123">
        <f t="shared" si="0"/>
        <v>0</v>
      </c>
      <c r="U15" s="217"/>
      <c r="V15" s="217"/>
      <c r="W15" s="217"/>
      <c r="X15" s="217"/>
      <c r="Y15" s="217"/>
      <c r="Z15" s="217">
        <f>'Subscriber growth'!E51</f>
        <v>0</v>
      </c>
      <c r="AA15" s="218">
        <f>SUM(AA10:AA14)</f>
        <v>0</v>
      </c>
      <c r="AB15" s="218">
        <f>SUM(AB10:AB14)</f>
        <v>0</v>
      </c>
      <c r="AC15" s="218">
        <f>SUM(AC10:AC14)</f>
        <v>0</v>
      </c>
      <c r="AD15" s="218">
        <f>SUM(AD10:AD14)</f>
        <v>0</v>
      </c>
      <c r="AE15" s="218">
        <f>'Subscriber growth'!H51</f>
        <v>37500</v>
      </c>
      <c r="AF15" s="218">
        <f>SUM(AF10:AF14)</f>
        <v>0</v>
      </c>
      <c r="AG15" s="218">
        <f>SUM(AG10:AG14)</f>
        <v>0</v>
      </c>
      <c r="AH15" s="218">
        <f>SUM(AH10:AH14)</f>
        <v>0</v>
      </c>
      <c r="AI15" s="218">
        <f>SUM(AI10:AI14)</f>
        <v>0</v>
      </c>
      <c r="AJ15" s="218">
        <f>'Subscriber growth'!K51</f>
        <v>87500</v>
      </c>
      <c r="AK15" s="218">
        <f>SUM(AK10:AK14)</f>
        <v>0</v>
      </c>
      <c r="AL15" s="218">
        <f>SUM(AL10:AL14)</f>
        <v>0</v>
      </c>
      <c r="AM15" s="218">
        <f>SUM(AM10:AM14)</f>
        <v>0</v>
      </c>
      <c r="AN15" s="218">
        <f>SUM(AN10:AN14)</f>
        <v>0</v>
      </c>
      <c r="AO15" s="218">
        <f>'Subscriber growth'!N51</f>
        <v>206250</v>
      </c>
      <c r="AP15" s="218">
        <f>SUM(AP10:AP14)</f>
        <v>0</v>
      </c>
      <c r="AQ15" s="218">
        <f>SUM(AQ10:AQ14)</f>
        <v>0</v>
      </c>
      <c r="AR15" s="218">
        <f>SUM(AR10:AR14)</f>
        <v>0</v>
      </c>
      <c r="AS15" s="218">
        <f>SUM(AS10:AS14)</f>
        <v>0</v>
      </c>
      <c r="AT15" s="219">
        <f>'Subscriber growth'!Q51</f>
        <v>281250</v>
      </c>
    </row>
    <row r="16" spans="1:46" ht="21" hidden="1" customHeight="1">
      <c r="B16" s="174" t="str">
        <f>'Subscriber growth'!C60</f>
        <v>Brand Partners</v>
      </c>
      <c r="C16" s="172"/>
      <c r="D16" s="173"/>
      <c r="E16" s="163"/>
      <c r="F16" s="111"/>
      <c r="G16" s="111"/>
      <c r="H16" s="112"/>
      <c r="I16" s="111"/>
      <c r="J16" s="111"/>
      <c r="K16" s="111"/>
      <c r="L16" s="112"/>
      <c r="M16" s="111"/>
      <c r="N16" s="111"/>
      <c r="O16" s="111"/>
      <c r="P16" s="112"/>
      <c r="Q16" s="111"/>
      <c r="R16" s="111"/>
      <c r="S16" s="111"/>
      <c r="T16" s="113"/>
      <c r="U16" s="217"/>
      <c r="V16" s="217"/>
      <c r="W16" s="217"/>
      <c r="X16" s="217"/>
      <c r="Y16" s="217"/>
      <c r="Z16" s="217">
        <f>'Subscriber growth'!E60</f>
        <v>0</v>
      </c>
      <c r="AA16" s="218"/>
      <c r="AB16" s="218"/>
      <c r="AC16" s="218"/>
      <c r="AD16" s="218"/>
      <c r="AE16" s="219">
        <f>'Subscriber growth'!H60</f>
        <v>60000</v>
      </c>
      <c r="AF16" s="218"/>
      <c r="AG16" s="218"/>
      <c r="AH16" s="218"/>
      <c r="AI16" s="218"/>
      <c r="AJ16" s="218">
        <f>'Subscriber growth'!K60</f>
        <v>300000</v>
      </c>
      <c r="AK16" s="218"/>
      <c r="AL16" s="218"/>
      <c r="AM16" s="218"/>
      <c r="AN16" s="218"/>
      <c r="AO16" s="219">
        <f>'Subscriber growth'!N60</f>
        <v>1080000</v>
      </c>
      <c r="AP16" s="218"/>
      <c r="AQ16" s="218"/>
      <c r="AR16" s="218"/>
      <c r="AS16" s="218"/>
      <c r="AT16" s="219">
        <f>'Subscriber growth'!Q60</f>
        <v>3360000</v>
      </c>
    </row>
    <row r="17" spans="2:46" hidden="1">
      <c r="B17" s="171"/>
      <c r="C17" s="172"/>
      <c r="D17" s="173"/>
      <c r="E17" s="163"/>
      <c r="F17" s="111"/>
      <c r="G17" s="111"/>
      <c r="H17" s="112"/>
      <c r="I17" s="111"/>
      <c r="J17" s="111"/>
      <c r="K17" s="111"/>
      <c r="L17" s="112"/>
      <c r="M17" s="111"/>
      <c r="N17" s="111"/>
      <c r="O17" s="111"/>
      <c r="P17" s="112"/>
      <c r="Q17" s="111"/>
      <c r="R17" s="111"/>
      <c r="S17" s="111"/>
      <c r="T17" s="113"/>
      <c r="U17" s="217"/>
      <c r="V17" s="217"/>
      <c r="W17" s="217"/>
      <c r="X17" s="217"/>
      <c r="Y17" s="217"/>
      <c r="Z17" s="217"/>
      <c r="AA17" s="218"/>
      <c r="AB17" s="218"/>
      <c r="AC17" s="218"/>
      <c r="AD17" s="218"/>
      <c r="AE17" s="219"/>
      <c r="AF17" s="218"/>
      <c r="AG17" s="218"/>
      <c r="AH17" s="218"/>
      <c r="AI17" s="218"/>
      <c r="AJ17" s="219"/>
      <c r="AK17" s="218"/>
      <c r="AL17" s="218"/>
      <c r="AM17" s="218"/>
      <c r="AN17" s="218"/>
      <c r="AO17" s="218"/>
      <c r="AP17" s="218"/>
      <c r="AQ17" s="218"/>
      <c r="AR17" s="218"/>
      <c r="AS17" s="218"/>
      <c r="AT17" s="219"/>
    </row>
    <row r="18" spans="2:46" ht="21" hidden="1" customHeight="1">
      <c r="B18" s="174" t="str">
        <f>'Subscriber growth'!C63</f>
        <v>Media Value</v>
      </c>
      <c r="C18" s="172"/>
      <c r="D18" s="173"/>
      <c r="E18" s="163"/>
      <c r="F18" s="111"/>
      <c r="G18" s="111"/>
      <c r="H18" s="112">
        <f>H15*'[1]Cost Assumptions'!$E$53</f>
        <v>0</v>
      </c>
      <c r="I18" s="111"/>
      <c r="J18" s="111"/>
      <c r="K18" s="111"/>
      <c r="L18" s="112">
        <f>L15*'[1]Cost Assumptions'!$E$53</f>
        <v>0</v>
      </c>
      <c r="M18" s="111"/>
      <c r="N18" s="111"/>
      <c r="O18" s="111"/>
      <c r="P18" s="112">
        <f>P15*'[1]Cost Assumptions'!$E$53</f>
        <v>0</v>
      </c>
      <c r="Q18" s="111"/>
      <c r="R18" s="111"/>
      <c r="S18" s="111"/>
      <c r="T18" s="113">
        <f>T15*'[1]Cost Assumptions'!$E$53</f>
        <v>0</v>
      </c>
      <c r="U18" s="217"/>
      <c r="V18" s="217"/>
      <c r="W18" s="217"/>
      <c r="X18" s="217"/>
      <c r="Y18" s="217"/>
      <c r="Z18" s="217">
        <f>'Subscriber growth'!E63</f>
        <v>79400</v>
      </c>
      <c r="AA18" s="218">
        <f>AA15*'[1]Cost Assumptions'!$E$53</f>
        <v>0</v>
      </c>
      <c r="AB18" s="218">
        <f>AB15*'[1]Cost Assumptions'!$E$53</f>
        <v>0</v>
      </c>
      <c r="AC18" s="218">
        <f>AC15*'[1]Cost Assumptions'!$E$53</f>
        <v>0</v>
      </c>
      <c r="AD18" s="218">
        <f>AD15*'[1]Cost Assumptions'!$E$53</f>
        <v>0</v>
      </c>
      <c r="AE18" s="219">
        <f>'Subscriber growth'!H63</f>
        <v>440200</v>
      </c>
      <c r="AF18" s="218">
        <f>AF15*'[1]Cost Assumptions'!$E$53</f>
        <v>0</v>
      </c>
      <c r="AG18" s="218">
        <f>AG15*'[1]Cost Assumptions'!$E$53</f>
        <v>0</v>
      </c>
      <c r="AH18" s="218">
        <f>AH15*'[1]Cost Assumptions'!$E$53</f>
        <v>0</v>
      </c>
      <c r="AI18" s="218">
        <f>AI15*'[1]Cost Assumptions'!$E$53</f>
        <v>0</v>
      </c>
      <c r="AJ18" s="218">
        <f>'Subscriber growth'!K63</f>
        <v>947152</v>
      </c>
      <c r="AK18" s="218">
        <f>AK15*'[1]Cost Assumptions'!$E$53</f>
        <v>0</v>
      </c>
      <c r="AL18" s="218">
        <f>AL15*'[1]Cost Assumptions'!$E$53</f>
        <v>0</v>
      </c>
      <c r="AM18" s="218">
        <f>AM15*'[1]Cost Assumptions'!$E$53</f>
        <v>0</v>
      </c>
      <c r="AN18" s="218">
        <f>AN15*'[1]Cost Assumptions'!$E$53</f>
        <v>0</v>
      </c>
      <c r="AO18" s="219">
        <f>'Subscriber growth'!N63</f>
        <v>1777259.6</v>
      </c>
      <c r="AP18" s="218">
        <f>AP15*'[1]Cost Assumptions'!$E$53</f>
        <v>0</v>
      </c>
      <c r="AQ18" s="218">
        <f>AQ15*'[1]Cost Assumptions'!$E$53</f>
        <v>0</v>
      </c>
      <c r="AR18" s="218">
        <f>AR15*'[1]Cost Assumptions'!$E$53</f>
        <v>0</v>
      </c>
      <c r="AS18" s="218">
        <f>AS15*'[1]Cost Assumptions'!$E$53</f>
        <v>0</v>
      </c>
      <c r="AT18" s="219">
        <f>'Subscriber growth'!Q63</f>
        <v>3254749.4</v>
      </c>
    </row>
    <row r="19" spans="2:46" ht="21" hidden="1" customHeight="1">
      <c r="B19" s="174" t="str">
        <f>'Subscriber growth'!C66</f>
        <v>Revenue Share</v>
      </c>
      <c r="C19" s="172"/>
      <c r="D19" s="173"/>
      <c r="E19" s="163"/>
      <c r="F19" s="111"/>
      <c r="G19" s="111"/>
      <c r="H19" s="112"/>
      <c r="I19" s="111"/>
      <c r="J19" s="111"/>
      <c r="K19" s="111"/>
      <c r="L19" s="112"/>
      <c r="M19" s="111"/>
      <c r="N19" s="111"/>
      <c r="O19" s="111"/>
      <c r="P19" s="112"/>
      <c r="Q19" s="111"/>
      <c r="R19" s="111"/>
      <c r="S19" s="111"/>
      <c r="T19" s="113"/>
      <c r="U19" s="226"/>
      <c r="V19" s="226"/>
      <c r="W19" s="226"/>
      <c r="X19" s="226"/>
      <c r="Y19" s="226"/>
      <c r="Z19" s="226">
        <f>'Subscriber growth'!E66</f>
        <v>39700</v>
      </c>
      <c r="AA19" s="227"/>
      <c r="AB19" s="227"/>
      <c r="AC19" s="227"/>
      <c r="AD19" s="227"/>
      <c r="AE19" s="227">
        <f>'Subscriber growth'!H66</f>
        <v>220100</v>
      </c>
      <c r="AF19" s="227"/>
      <c r="AG19" s="227"/>
      <c r="AH19" s="227"/>
      <c r="AI19" s="227"/>
      <c r="AJ19" s="227">
        <f>'Subscriber growth'!K66</f>
        <v>473576</v>
      </c>
      <c r="AK19" s="227"/>
      <c r="AL19" s="227"/>
      <c r="AM19" s="227"/>
      <c r="AN19" s="227"/>
      <c r="AO19" s="227">
        <f>'Subscriber growth'!N66</f>
        <v>888629.8</v>
      </c>
      <c r="AP19" s="227"/>
      <c r="AQ19" s="227"/>
      <c r="AR19" s="227"/>
      <c r="AS19" s="227"/>
      <c r="AT19" s="228">
        <f>'Subscriber growth'!Q66</f>
        <v>1627374.7</v>
      </c>
    </row>
    <row r="20" spans="2:46" hidden="1">
      <c r="B20" s="174"/>
      <c r="C20" s="172"/>
      <c r="D20" s="173"/>
      <c r="E20" s="163"/>
      <c r="F20" s="111"/>
      <c r="G20" s="111"/>
      <c r="H20" s="112"/>
      <c r="I20" s="111"/>
      <c r="J20" s="111"/>
      <c r="K20" s="111"/>
      <c r="L20" s="112"/>
      <c r="M20" s="111"/>
      <c r="N20" s="111"/>
      <c r="O20" s="111"/>
      <c r="P20" s="112"/>
      <c r="Q20" s="111"/>
      <c r="R20" s="111"/>
      <c r="S20" s="111"/>
      <c r="T20" s="113"/>
      <c r="U20" s="143"/>
      <c r="V20" s="143"/>
      <c r="W20" s="143"/>
      <c r="X20" s="143"/>
      <c r="Y20" s="143"/>
      <c r="Z20" s="143"/>
      <c r="AA20" s="144"/>
      <c r="AB20" s="145"/>
      <c r="AC20" s="145"/>
      <c r="AD20" s="145"/>
      <c r="AE20" s="146"/>
      <c r="AF20" s="144"/>
      <c r="AG20" s="145"/>
      <c r="AH20" s="145"/>
      <c r="AI20" s="145"/>
      <c r="AJ20" s="146"/>
      <c r="AK20" s="144"/>
      <c r="AL20" s="145"/>
      <c r="AM20" s="145"/>
      <c r="AN20" s="145"/>
      <c r="AO20" s="146"/>
      <c r="AP20" s="144"/>
      <c r="AQ20" s="145"/>
      <c r="AR20" s="145"/>
      <c r="AS20" s="145"/>
      <c r="AT20" s="146"/>
    </row>
    <row r="21" spans="2:46" hidden="1">
      <c r="B21" s="174" t="s">
        <v>211</v>
      </c>
      <c r="C21" s="172"/>
      <c r="D21" s="173"/>
      <c r="E21" s="163"/>
      <c r="F21" s="111"/>
      <c r="G21" s="111"/>
      <c r="H21" s="112"/>
      <c r="I21" s="111"/>
      <c r="J21" s="111"/>
      <c r="K21" s="111"/>
      <c r="L21" s="112"/>
      <c r="M21" s="111"/>
      <c r="N21" s="111"/>
      <c r="O21" s="111"/>
      <c r="P21" s="112"/>
      <c r="Q21" s="111"/>
      <c r="R21" s="111"/>
      <c r="S21" s="111"/>
      <c r="T21" s="113"/>
      <c r="U21" s="143"/>
      <c r="V21" s="143"/>
      <c r="W21" s="143"/>
      <c r="X21" s="143"/>
      <c r="Y21" s="143"/>
      <c r="Z21" s="143">
        <f>(Z13+Z15+Z16+Z18+Z19)*'Cost Assumptions'!$D$50</f>
        <v>0</v>
      </c>
      <c r="AA21" s="144"/>
      <c r="AB21" s="145"/>
      <c r="AC21" s="145"/>
      <c r="AD21" s="145"/>
      <c r="AE21" s="143">
        <f>(AE13+AE15+AE16+AE18+AE19)*'Cost Assumptions'!$D$50</f>
        <v>0</v>
      </c>
      <c r="AF21" s="144"/>
      <c r="AG21" s="145"/>
      <c r="AH21" s="145"/>
      <c r="AI21" s="145"/>
      <c r="AJ21" s="143">
        <f>(AJ13+AJ15+AJ16+AJ18+AJ19)*'Cost Assumptions'!$D$50</f>
        <v>0</v>
      </c>
      <c r="AK21" s="144"/>
      <c r="AL21" s="145"/>
      <c r="AM21" s="145"/>
      <c r="AN21" s="145"/>
      <c r="AO21" s="143">
        <f>(AO13+AO15+AO16+AO18+AO19)*'Cost Assumptions'!$D$50</f>
        <v>0</v>
      </c>
      <c r="AP21" s="144"/>
      <c r="AQ21" s="145"/>
      <c r="AR21" s="145"/>
      <c r="AS21" s="145"/>
      <c r="AT21" s="143">
        <f>(AT13+AT15+AT16+AT18+AT19)*'Cost Assumptions'!$D$50</f>
        <v>0</v>
      </c>
    </row>
    <row r="22" spans="2:46" hidden="1">
      <c r="B22" s="171"/>
      <c r="C22" s="172"/>
      <c r="D22" s="173"/>
      <c r="E22" s="164"/>
      <c r="F22" s="121"/>
      <c r="G22" s="121"/>
      <c r="H22" s="122"/>
      <c r="I22" s="121"/>
      <c r="J22" s="121"/>
      <c r="K22" s="121"/>
      <c r="L22" s="122"/>
      <c r="M22" s="121"/>
      <c r="N22" s="121"/>
      <c r="O22" s="121"/>
      <c r="P22" s="122"/>
      <c r="Q22" s="121"/>
      <c r="R22" s="121"/>
      <c r="S22" s="121"/>
      <c r="T22" s="123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</row>
    <row r="23" spans="2:46" s="129" customFormat="1" ht="28" customHeight="1" thickBot="1">
      <c r="B23" s="347" t="s">
        <v>184</v>
      </c>
      <c r="C23" s="125"/>
      <c r="D23" s="126"/>
      <c r="E23" s="165"/>
      <c r="F23" s="127"/>
      <c r="G23" s="127"/>
      <c r="H23" s="127">
        <f>H15-H18</f>
        <v>0</v>
      </c>
      <c r="I23" s="127"/>
      <c r="J23" s="127"/>
      <c r="K23" s="127"/>
      <c r="L23" s="127">
        <f t="shared" ref="L23:Y23" si="1">L15-L18</f>
        <v>0</v>
      </c>
      <c r="M23" s="127"/>
      <c r="N23" s="127"/>
      <c r="O23" s="127"/>
      <c r="P23" s="127">
        <f t="shared" si="1"/>
        <v>0</v>
      </c>
      <c r="Q23" s="127"/>
      <c r="R23" s="127"/>
      <c r="S23" s="127"/>
      <c r="T23" s="128">
        <f t="shared" si="1"/>
        <v>0</v>
      </c>
      <c r="U23" s="349"/>
      <c r="V23" s="349"/>
      <c r="W23" s="349"/>
      <c r="X23" s="349"/>
      <c r="Y23" s="349"/>
      <c r="Z23" s="349">
        <f>(Z13+Z15+Z16+Z18+Z19)-Z21</f>
        <v>119100</v>
      </c>
      <c r="AA23" s="148">
        <f>AA15-AA18</f>
        <v>0</v>
      </c>
      <c r="AB23" s="148">
        <f>AB15-AB18</f>
        <v>0</v>
      </c>
      <c r="AC23" s="148">
        <f>AC15-AC18</f>
        <v>0</v>
      </c>
      <c r="AD23" s="148">
        <f>AD15-AD18</f>
        <v>0</v>
      </c>
      <c r="AE23" s="349">
        <f>(AE13+AE15+AE16+AE18+AE19)-AE21</f>
        <v>4286800</v>
      </c>
      <c r="AF23" s="148">
        <f>AF15-AF18</f>
        <v>0</v>
      </c>
      <c r="AG23" s="148">
        <f>AG15-AG18</f>
        <v>0</v>
      </c>
      <c r="AH23" s="148">
        <f>AH15-AH18</f>
        <v>0</v>
      </c>
      <c r="AI23" s="148">
        <f>AI15-AI18</f>
        <v>0</v>
      </c>
      <c r="AJ23" s="349">
        <f>(AJ13+AJ15+AJ16+AJ18+AJ19)-AJ21</f>
        <v>10176928</v>
      </c>
      <c r="AK23" s="148">
        <f>AK15-AK18</f>
        <v>0</v>
      </c>
      <c r="AL23" s="148">
        <f>AL15-AL18</f>
        <v>0</v>
      </c>
      <c r="AM23" s="148">
        <f>AM15-AM18</f>
        <v>0</v>
      </c>
      <c r="AN23" s="148">
        <f>AN15-AN18</f>
        <v>0</v>
      </c>
      <c r="AO23" s="349">
        <f>(AO13+AO15+AO16+AO18+AO19)-AO21</f>
        <v>19708844.400000002</v>
      </c>
      <c r="AP23" s="148">
        <f>AP15-AP18</f>
        <v>0</v>
      </c>
      <c r="AQ23" s="148">
        <f>AQ15-AQ18</f>
        <v>0</v>
      </c>
      <c r="AR23" s="148">
        <f>AR15-AR18</f>
        <v>0</v>
      </c>
      <c r="AS23" s="148">
        <f>AS15-AS18</f>
        <v>0</v>
      </c>
      <c r="AT23" s="349">
        <f>(AT13+AT15+AT16+AT18+AT19)-AT21</f>
        <v>36726698.350000001</v>
      </c>
    </row>
    <row r="24" spans="2:46" hidden="1">
      <c r="B24" s="171"/>
      <c r="C24" s="172"/>
      <c r="D24" s="173"/>
      <c r="E24" s="163"/>
      <c r="F24" s="111"/>
      <c r="G24" s="111"/>
      <c r="H24" s="112"/>
      <c r="I24" s="111"/>
      <c r="J24" s="111"/>
      <c r="K24" s="111"/>
      <c r="L24" s="112"/>
      <c r="M24" s="111"/>
      <c r="N24" s="111"/>
      <c r="O24" s="111"/>
      <c r="P24" s="112"/>
      <c r="Q24" s="111"/>
      <c r="R24" s="111"/>
      <c r="S24" s="111"/>
      <c r="T24" s="112"/>
      <c r="U24" s="149"/>
      <c r="V24" s="150"/>
      <c r="W24" s="151"/>
      <c r="X24" s="151"/>
      <c r="Y24" s="151"/>
      <c r="Z24" s="149"/>
      <c r="AA24" s="150"/>
      <c r="AB24" s="151"/>
      <c r="AC24" s="151"/>
      <c r="AD24" s="151"/>
      <c r="AE24" s="149"/>
      <c r="AF24" s="150"/>
      <c r="AG24" s="151"/>
      <c r="AH24" s="151"/>
      <c r="AI24" s="152"/>
      <c r="AJ24" s="153"/>
      <c r="AK24" s="150"/>
      <c r="AL24" s="151"/>
      <c r="AM24" s="151"/>
      <c r="AN24" s="151"/>
      <c r="AO24" s="149"/>
      <c r="AP24" s="149"/>
      <c r="AQ24" s="149"/>
      <c r="AR24" s="149"/>
      <c r="AS24" s="149"/>
      <c r="AT24" s="149"/>
    </row>
    <row r="25" spans="2:46" ht="18" hidden="1">
      <c r="B25" s="170" t="s">
        <v>185</v>
      </c>
      <c r="C25" s="172"/>
      <c r="D25" s="173"/>
      <c r="E25" s="163"/>
      <c r="F25" s="111"/>
      <c r="G25" s="111"/>
      <c r="H25" s="112"/>
      <c r="I25" s="111"/>
      <c r="J25" s="111"/>
      <c r="K25" s="111"/>
      <c r="L25" s="112"/>
      <c r="M25" s="111"/>
      <c r="N25" s="111"/>
      <c r="O25" s="111"/>
      <c r="P25" s="112"/>
      <c r="Q25" s="111"/>
      <c r="R25" s="111"/>
      <c r="S25" s="111"/>
      <c r="T25" s="113"/>
      <c r="U25" s="214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6"/>
      <c r="AP25" s="216"/>
      <c r="AQ25" s="216"/>
      <c r="AR25" s="216"/>
      <c r="AS25" s="216"/>
      <c r="AT25" s="216"/>
    </row>
    <row r="26" spans="2:46" hidden="1">
      <c r="B26" s="174" t="s">
        <v>186</v>
      </c>
      <c r="C26" s="172"/>
      <c r="D26" s="173"/>
      <c r="E26" s="161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3"/>
      <c r="U26" s="217"/>
      <c r="V26" s="218"/>
      <c r="W26" s="218"/>
      <c r="X26" s="218"/>
      <c r="Y26" s="218"/>
      <c r="Z26" s="218"/>
      <c r="AA26" s="218"/>
      <c r="AB26" s="218"/>
      <c r="AC26" s="218"/>
      <c r="AD26" s="218"/>
      <c r="AE26" s="218"/>
      <c r="AF26" s="218"/>
      <c r="AG26" s="218"/>
      <c r="AH26" s="218"/>
      <c r="AI26" s="218"/>
      <c r="AJ26" s="218"/>
      <c r="AK26" s="218"/>
      <c r="AL26" s="218"/>
      <c r="AM26" s="218"/>
      <c r="AN26" s="218"/>
      <c r="AO26" s="219"/>
      <c r="AP26" s="219"/>
      <c r="AQ26" s="219"/>
      <c r="AR26" s="219"/>
      <c r="AS26" s="219"/>
      <c r="AT26" s="219"/>
    </row>
    <row r="27" spans="2:46" hidden="1">
      <c r="B27" s="171" t="s">
        <v>187</v>
      </c>
      <c r="C27" s="172">
        <f>'Cost Assumptions'!D22*'CostRev comparison'!$D$5</f>
        <v>2000</v>
      </c>
      <c r="D27" s="173"/>
      <c r="E27" s="161">
        <f>$C27-$C27</f>
        <v>0</v>
      </c>
      <c r="F27" s="161">
        <f t="shared" ref="F27:G27" si="2">$C27-$C27</f>
        <v>0</v>
      </c>
      <c r="G27" s="161">
        <f t="shared" si="2"/>
        <v>0</v>
      </c>
      <c r="H27" s="132">
        <f>SUM(E27:G27)</f>
        <v>0</v>
      </c>
      <c r="I27" s="132">
        <f t="shared" ref="I27:K30" si="3">$C27</f>
        <v>2000</v>
      </c>
      <c r="J27" s="132">
        <f t="shared" si="3"/>
        <v>2000</v>
      </c>
      <c r="K27" s="132">
        <f t="shared" si="3"/>
        <v>2000</v>
      </c>
      <c r="L27" s="132">
        <f>SUM(I27:K27)</f>
        <v>6000</v>
      </c>
      <c r="M27" s="132">
        <f t="shared" ref="M27:O30" si="4">$C27</f>
        <v>2000</v>
      </c>
      <c r="N27" s="132">
        <f t="shared" si="4"/>
        <v>2000</v>
      </c>
      <c r="O27" s="132">
        <f t="shared" si="4"/>
        <v>2000</v>
      </c>
      <c r="P27" s="132">
        <f>SUM(M27:O27)</f>
        <v>6000</v>
      </c>
      <c r="Q27" s="132">
        <f t="shared" ref="Q27:S30" si="5">$C27</f>
        <v>2000</v>
      </c>
      <c r="R27" s="132">
        <f t="shared" si="5"/>
        <v>2000</v>
      </c>
      <c r="S27" s="132">
        <f t="shared" si="5"/>
        <v>2000</v>
      </c>
      <c r="T27" s="133">
        <f>SUM(Q27:S27)</f>
        <v>6000</v>
      </c>
      <c r="U27" s="217">
        <f>SUM(E27:G27)+SUM(I27:K27)+SUM(M27:O27)+SUM(Q27:S27)</f>
        <v>18000</v>
      </c>
      <c r="V27" s="218">
        <f>$C27*3*(1+$W$5)</f>
        <v>6899.9999999999991</v>
      </c>
      <c r="W27" s="218">
        <f t="shared" ref="W27:Y30" si="6">$C27*3*(1+$W$5)</f>
        <v>6899.9999999999991</v>
      </c>
      <c r="X27" s="218">
        <f t="shared" si="6"/>
        <v>6899.9999999999991</v>
      </c>
      <c r="Y27" s="218">
        <f t="shared" si="6"/>
        <v>6899.9999999999991</v>
      </c>
      <c r="Z27" s="218">
        <f>SUM(V27:Y27)</f>
        <v>27599.999999999996</v>
      </c>
      <c r="AA27" s="218">
        <f>$C27*3*((1+$W$5)*(1+$AB$5))</f>
        <v>7934.9999999999991</v>
      </c>
      <c r="AB27" s="218">
        <f t="shared" ref="AB27:AD30" si="7">$C27*3*((1+$W$5)*(1+$AB$5))</f>
        <v>7934.9999999999991</v>
      </c>
      <c r="AC27" s="218">
        <f t="shared" si="7"/>
        <v>7934.9999999999991</v>
      </c>
      <c r="AD27" s="218">
        <f t="shared" si="7"/>
        <v>7934.9999999999991</v>
      </c>
      <c r="AE27" s="218">
        <f>SUM(AA27:AD27)</f>
        <v>31739.999999999996</v>
      </c>
      <c r="AF27" s="218">
        <f>$C27*3*(((1+$W$5)*(1+$AB$5)*(1+$AG$5)))</f>
        <v>9125.2499999999964</v>
      </c>
      <c r="AG27" s="218">
        <f t="shared" ref="AG27:AI30" si="8">$C27*3*(((1+$W$5)*(1+$AB$5)*(1+$AG$5)))</f>
        <v>9125.2499999999964</v>
      </c>
      <c r="AH27" s="218">
        <f t="shared" si="8"/>
        <v>9125.2499999999964</v>
      </c>
      <c r="AI27" s="218">
        <f t="shared" si="8"/>
        <v>9125.2499999999964</v>
      </c>
      <c r="AJ27" s="218">
        <f>SUM(AF27:AI27)</f>
        <v>36500.999999999985</v>
      </c>
      <c r="AK27" s="218">
        <f>$C27*3*((1+$W$5)*(1+$AB$5)*(1+$AG$5)*(1+$AL$5))</f>
        <v>10494.037499999997</v>
      </c>
      <c r="AL27" s="218">
        <f t="shared" ref="AL27:AN30" si="9">$C27*3*((1+$W$5)*(1+$AB$5)*(1+$AG$5)*(1+$AL$5))</f>
        <v>10494.037499999997</v>
      </c>
      <c r="AM27" s="218">
        <f t="shared" si="9"/>
        <v>10494.037499999997</v>
      </c>
      <c r="AN27" s="218">
        <f t="shared" si="9"/>
        <v>10494.037499999997</v>
      </c>
      <c r="AO27" s="219">
        <f>SUM(AK27:AN27)</f>
        <v>41976.149999999987</v>
      </c>
      <c r="AP27" s="218">
        <f>$C27*3*((1+$W$5)*(1+$AB$5)*(1+$AG$5)*(1+$AL$5)*(1+$AQ$5))</f>
        <v>12068.143124999997</v>
      </c>
      <c r="AQ27" s="218">
        <f>$C27*3*((1+$W$5)*(1+$AB$5)*(1+$AG$5)*(1+$AL$5)*(1+$AQ$5))</f>
        <v>12068.143124999997</v>
      </c>
      <c r="AR27" s="218">
        <f>$C27*3*((1+$W$5)*(1+$AB$5)*(1+$AG$5)*(1+$AL$5)*(1+$AQ$5))</f>
        <v>12068.143124999997</v>
      </c>
      <c r="AS27" s="218">
        <f>$C27*3*((1+$W$5)*(1+$AB$5)*(1+$AG$5)*(1+$AL$5)*(1+$AQ$5))</f>
        <v>12068.143124999997</v>
      </c>
      <c r="AT27" s="219">
        <f>SUM(AP27:AS27)</f>
        <v>48272.572499999987</v>
      </c>
    </row>
    <row r="28" spans="2:46" hidden="1">
      <c r="B28" s="171" t="s">
        <v>91</v>
      </c>
      <c r="C28" s="172">
        <f>'Cost Assumptions'!D23*'CostRev comparison'!$D$5</f>
        <v>500</v>
      </c>
      <c r="D28" s="173"/>
      <c r="E28" s="161">
        <f>$C28</f>
        <v>500</v>
      </c>
      <c r="F28" s="132">
        <f t="shared" ref="F28:G30" si="10">$C28</f>
        <v>500</v>
      </c>
      <c r="G28" s="132">
        <f t="shared" si="10"/>
        <v>500</v>
      </c>
      <c r="H28" s="132">
        <f>SUM(E28:G28)</f>
        <v>1500</v>
      </c>
      <c r="I28" s="132">
        <f t="shared" si="3"/>
        <v>500</v>
      </c>
      <c r="J28" s="132">
        <f t="shared" si="3"/>
        <v>500</v>
      </c>
      <c r="K28" s="132">
        <f t="shared" si="3"/>
        <v>500</v>
      </c>
      <c r="L28" s="132">
        <f>SUM(I28:K28)</f>
        <v>1500</v>
      </c>
      <c r="M28" s="132">
        <f t="shared" si="4"/>
        <v>500</v>
      </c>
      <c r="N28" s="132">
        <f t="shared" si="4"/>
        <v>500</v>
      </c>
      <c r="O28" s="132">
        <f t="shared" si="4"/>
        <v>500</v>
      </c>
      <c r="P28" s="132">
        <f>SUM(M28:O28)</f>
        <v>1500</v>
      </c>
      <c r="Q28" s="132">
        <f t="shared" si="5"/>
        <v>500</v>
      </c>
      <c r="R28" s="132">
        <f t="shared" si="5"/>
        <v>500</v>
      </c>
      <c r="S28" s="132">
        <f t="shared" si="5"/>
        <v>500</v>
      </c>
      <c r="T28" s="133">
        <f>SUM(Q28:S28)</f>
        <v>1500</v>
      </c>
      <c r="U28" s="217">
        <f>SUM(E28:G28)+SUM(I28:K28)+SUM(M28:O28)+SUM(Q28:S28)</f>
        <v>6000</v>
      </c>
      <c r="V28" s="218">
        <f>$C28*3*(1+$W$5)</f>
        <v>1724.9999999999998</v>
      </c>
      <c r="W28" s="218">
        <f t="shared" si="6"/>
        <v>1724.9999999999998</v>
      </c>
      <c r="X28" s="218">
        <f t="shared" si="6"/>
        <v>1724.9999999999998</v>
      </c>
      <c r="Y28" s="218">
        <f t="shared" si="6"/>
        <v>1724.9999999999998</v>
      </c>
      <c r="Z28" s="218">
        <f>SUM(V28:Y28)</f>
        <v>6899.9999999999991</v>
      </c>
      <c r="AA28" s="218">
        <f>$C28*3*((1+$W$5)*(1+$AB$5))</f>
        <v>1983.7499999999998</v>
      </c>
      <c r="AB28" s="218">
        <f t="shared" si="7"/>
        <v>1983.7499999999998</v>
      </c>
      <c r="AC28" s="218">
        <f t="shared" si="7"/>
        <v>1983.7499999999998</v>
      </c>
      <c r="AD28" s="218">
        <f t="shared" si="7"/>
        <v>1983.7499999999998</v>
      </c>
      <c r="AE28" s="218">
        <f>SUM(AA28:AD28)</f>
        <v>7934.9999999999991</v>
      </c>
      <c r="AF28" s="218">
        <f>$C28*3*(((1+$W$5)*(1+$AB$5)*(1+$AG$5)))</f>
        <v>2281.3124999999991</v>
      </c>
      <c r="AG28" s="218">
        <f t="shared" si="8"/>
        <v>2281.3124999999991</v>
      </c>
      <c r="AH28" s="218">
        <f t="shared" si="8"/>
        <v>2281.3124999999991</v>
      </c>
      <c r="AI28" s="218">
        <f t="shared" si="8"/>
        <v>2281.3124999999991</v>
      </c>
      <c r="AJ28" s="218">
        <f>SUM(AF28:AI28)</f>
        <v>9125.2499999999964</v>
      </c>
      <c r="AK28" s="218">
        <f>$C28*3*((1+$W$5)*(1+$AB$5)*(1+$AG$5)*(1+$AL$5))</f>
        <v>2623.5093749999992</v>
      </c>
      <c r="AL28" s="218">
        <f t="shared" si="9"/>
        <v>2623.5093749999992</v>
      </c>
      <c r="AM28" s="218">
        <f t="shared" si="9"/>
        <v>2623.5093749999992</v>
      </c>
      <c r="AN28" s="218">
        <f t="shared" si="9"/>
        <v>2623.5093749999992</v>
      </c>
      <c r="AO28" s="219">
        <f>SUM(AK28:AN28)</f>
        <v>10494.037499999997</v>
      </c>
      <c r="AP28" s="218">
        <f t="shared" ref="AP28:AS31" si="11">$C28*3*((1+$W$5)*(1+$AB$5)*(1+$AG$5)*(1+$AL$5)*(1+$AQ$5))</f>
        <v>3017.0357812499992</v>
      </c>
      <c r="AQ28" s="218">
        <f t="shared" si="11"/>
        <v>3017.0357812499992</v>
      </c>
      <c r="AR28" s="218">
        <f t="shared" si="11"/>
        <v>3017.0357812499992</v>
      </c>
      <c r="AS28" s="218">
        <f t="shared" si="11"/>
        <v>3017.0357812499992</v>
      </c>
      <c r="AT28" s="219">
        <f t="shared" ref="AT28:AT64" si="12">SUM(AP28:AS28)</f>
        <v>12068.143124999997</v>
      </c>
    </row>
    <row r="29" spans="2:46" hidden="1">
      <c r="B29" s="171" t="s">
        <v>92</v>
      </c>
      <c r="C29" s="172">
        <f>'Cost Assumptions'!D24*'CostRev comparison'!$D$5</f>
        <v>50</v>
      </c>
      <c r="D29" s="173"/>
      <c r="E29" s="161">
        <f>$C29</f>
        <v>50</v>
      </c>
      <c r="F29" s="132">
        <f t="shared" si="10"/>
        <v>50</v>
      </c>
      <c r="G29" s="132">
        <f t="shared" si="10"/>
        <v>50</v>
      </c>
      <c r="H29" s="132">
        <f>SUM(E29:G29)</f>
        <v>150</v>
      </c>
      <c r="I29" s="132">
        <f t="shared" si="3"/>
        <v>50</v>
      </c>
      <c r="J29" s="132">
        <f t="shared" si="3"/>
        <v>50</v>
      </c>
      <c r="K29" s="132">
        <f t="shared" si="3"/>
        <v>50</v>
      </c>
      <c r="L29" s="132">
        <f>SUM(I29:K29)</f>
        <v>150</v>
      </c>
      <c r="M29" s="132">
        <f t="shared" si="4"/>
        <v>50</v>
      </c>
      <c r="N29" s="132">
        <f t="shared" si="4"/>
        <v>50</v>
      </c>
      <c r="O29" s="132">
        <f t="shared" si="4"/>
        <v>50</v>
      </c>
      <c r="P29" s="132">
        <f>SUM(M29:O29)</f>
        <v>150</v>
      </c>
      <c r="Q29" s="132">
        <f t="shared" si="5"/>
        <v>50</v>
      </c>
      <c r="R29" s="132">
        <f t="shared" si="5"/>
        <v>50</v>
      </c>
      <c r="S29" s="132">
        <f t="shared" si="5"/>
        <v>50</v>
      </c>
      <c r="T29" s="133">
        <f>SUM(Q29:S29)</f>
        <v>150</v>
      </c>
      <c r="U29" s="217">
        <f>SUM(E29:G29)+SUM(I29:K29)+SUM(M29:O29)+SUM(Q29:S29)</f>
        <v>600</v>
      </c>
      <c r="V29" s="218">
        <f>$C29*3*(1+$W$5)</f>
        <v>172.5</v>
      </c>
      <c r="W29" s="218">
        <f t="shared" si="6"/>
        <v>172.5</v>
      </c>
      <c r="X29" s="218">
        <f t="shared" si="6"/>
        <v>172.5</v>
      </c>
      <c r="Y29" s="218">
        <f t="shared" si="6"/>
        <v>172.5</v>
      </c>
      <c r="Z29" s="218">
        <f>SUM(V29:Y29)</f>
        <v>690</v>
      </c>
      <c r="AA29" s="218">
        <f>$C29*3*((1+$W$5)*(1+$AB$5))</f>
        <v>198.37499999999997</v>
      </c>
      <c r="AB29" s="218">
        <f t="shared" si="7"/>
        <v>198.37499999999997</v>
      </c>
      <c r="AC29" s="218">
        <f t="shared" si="7"/>
        <v>198.37499999999997</v>
      </c>
      <c r="AD29" s="218">
        <f t="shared" si="7"/>
        <v>198.37499999999997</v>
      </c>
      <c r="AE29" s="218">
        <f>SUM(AA29:AD29)</f>
        <v>793.49999999999989</v>
      </c>
      <c r="AF29" s="218">
        <f>$C29*3*(((1+$W$5)*(1+$AB$5)*(1+$AG$5)))</f>
        <v>228.13124999999994</v>
      </c>
      <c r="AG29" s="218">
        <f t="shared" si="8"/>
        <v>228.13124999999994</v>
      </c>
      <c r="AH29" s="218">
        <f t="shared" si="8"/>
        <v>228.13124999999994</v>
      </c>
      <c r="AI29" s="218">
        <f t="shared" si="8"/>
        <v>228.13124999999994</v>
      </c>
      <c r="AJ29" s="218">
        <f>SUM(AF29:AI29)</f>
        <v>912.52499999999975</v>
      </c>
      <c r="AK29" s="218">
        <f>$C29*3*((1+$W$5)*(1+$AB$5)*(1+$AG$5)*(1+$AL$5))</f>
        <v>262.35093749999993</v>
      </c>
      <c r="AL29" s="218">
        <f t="shared" si="9"/>
        <v>262.35093749999993</v>
      </c>
      <c r="AM29" s="218">
        <f t="shared" si="9"/>
        <v>262.35093749999993</v>
      </c>
      <c r="AN29" s="218">
        <f t="shared" si="9"/>
        <v>262.35093749999993</v>
      </c>
      <c r="AO29" s="219">
        <f>SUM(AK29:AN29)</f>
        <v>1049.4037499999997</v>
      </c>
      <c r="AP29" s="218">
        <f t="shared" si="11"/>
        <v>301.70357812499992</v>
      </c>
      <c r="AQ29" s="218">
        <f t="shared" si="11"/>
        <v>301.70357812499992</v>
      </c>
      <c r="AR29" s="218">
        <f t="shared" si="11"/>
        <v>301.70357812499992</v>
      </c>
      <c r="AS29" s="218">
        <f t="shared" si="11"/>
        <v>301.70357812499992</v>
      </c>
      <c r="AT29" s="219">
        <f t="shared" si="12"/>
        <v>1206.8143124999997</v>
      </c>
    </row>
    <row r="30" spans="2:46" ht="17" hidden="1" thickBot="1">
      <c r="B30" s="171" t="s">
        <v>188</v>
      </c>
      <c r="C30" s="172">
        <f>'Cost Assumptions'!D35*'CostRev comparison'!$D$5</f>
        <v>2000</v>
      </c>
      <c r="D30" s="173"/>
      <c r="E30" s="161">
        <f>$C30</f>
        <v>2000</v>
      </c>
      <c r="F30" s="132">
        <f t="shared" si="10"/>
        <v>2000</v>
      </c>
      <c r="G30" s="132">
        <f t="shared" si="10"/>
        <v>2000</v>
      </c>
      <c r="H30" s="132">
        <f>SUM(E30:G30)</f>
        <v>6000</v>
      </c>
      <c r="I30" s="132">
        <f t="shared" si="3"/>
        <v>2000</v>
      </c>
      <c r="J30" s="132">
        <f t="shared" si="3"/>
        <v>2000</v>
      </c>
      <c r="K30" s="132">
        <f t="shared" si="3"/>
        <v>2000</v>
      </c>
      <c r="L30" s="132">
        <f>SUM(I30:K30)</f>
        <v>6000</v>
      </c>
      <c r="M30" s="132">
        <f t="shared" si="4"/>
        <v>2000</v>
      </c>
      <c r="N30" s="132">
        <f t="shared" si="4"/>
        <v>2000</v>
      </c>
      <c r="O30" s="132">
        <f t="shared" si="4"/>
        <v>2000</v>
      </c>
      <c r="P30" s="132">
        <f>SUM(M30:O30)</f>
        <v>6000</v>
      </c>
      <c r="Q30" s="132">
        <f t="shared" si="5"/>
        <v>2000</v>
      </c>
      <c r="R30" s="132">
        <f t="shared" si="5"/>
        <v>2000</v>
      </c>
      <c r="S30" s="132">
        <f t="shared" si="5"/>
        <v>2000</v>
      </c>
      <c r="T30" s="133">
        <f>SUM(Q30:S30)</f>
        <v>6000</v>
      </c>
      <c r="U30" s="217">
        <f>SUM(E30:G30)+SUM(I30:K30)+SUM(M30:O30)+SUM(Q30:S30)</f>
        <v>24000</v>
      </c>
      <c r="V30" s="218">
        <f>$C30*3*(1+$W$5)</f>
        <v>6899.9999999999991</v>
      </c>
      <c r="W30" s="218">
        <f t="shared" si="6"/>
        <v>6899.9999999999991</v>
      </c>
      <c r="X30" s="218">
        <f t="shared" si="6"/>
        <v>6899.9999999999991</v>
      </c>
      <c r="Y30" s="218">
        <f t="shared" si="6"/>
        <v>6899.9999999999991</v>
      </c>
      <c r="Z30" s="218">
        <f>SUM(V30:Y30)</f>
        <v>27599.999999999996</v>
      </c>
      <c r="AA30" s="218">
        <f>$C30*3*((1+$W$5)*(1+$AB$5))</f>
        <v>7934.9999999999991</v>
      </c>
      <c r="AB30" s="218">
        <f t="shared" si="7"/>
        <v>7934.9999999999991</v>
      </c>
      <c r="AC30" s="218">
        <f t="shared" si="7"/>
        <v>7934.9999999999991</v>
      </c>
      <c r="AD30" s="218">
        <f t="shared" si="7"/>
        <v>7934.9999999999991</v>
      </c>
      <c r="AE30" s="218">
        <f>SUM(AA30:AD30)</f>
        <v>31739.999999999996</v>
      </c>
      <c r="AF30" s="218">
        <f>$C30*3*(((1+$W$5)*(1+$AB$5)*(1+$AG$5)))</f>
        <v>9125.2499999999964</v>
      </c>
      <c r="AG30" s="218">
        <f t="shared" si="8"/>
        <v>9125.2499999999964</v>
      </c>
      <c r="AH30" s="218">
        <f t="shared" si="8"/>
        <v>9125.2499999999964</v>
      </c>
      <c r="AI30" s="218">
        <f t="shared" si="8"/>
        <v>9125.2499999999964</v>
      </c>
      <c r="AJ30" s="218">
        <f>SUM(AF30:AI30)</f>
        <v>36500.999999999985</v>
      </c>
      <c r="AK30" s="218">
        <f>$C30*3*((1+$W$5)*(1+$AB$5)*(1+$AG$5)*(1+$AL$5))</f>
        <v>10494.037499999997</v>
      </c>
      <c r="AL30" s="218">
        <f t="shared" si="9"/>
        <v>10494.037499999997</v>
      </c>
      <c r="AM30" s="218">
        <f t="shared" si="9"/>
        <v>10494.037499999997</v>
      </c>
      <c r="AN30" s="218">
        <f t="shared" si="9"/>
        <v>10494.037499999997</v>
      </c>
      <c r="AO30" s="219">
        <f>SUM(AK30:AN30)</f>
        <v>41976.149999999987</v>
      </c>
      <c r="AP30" s="218">
        <f t="shared" si="11"/>
        <v>12068.143124999997</v>
      </c>
      <c r="AQ30" s="218">
        <f t="shared" si="11"/>
        <v>12068.143124999997</v>
      </c>
      <c r="AR30" s="218">
        <f t="shared" si="11"/>
        <v>12068.143124999997</v>
      </c>
      <c r="AS30" s="218">
        <f t="shared" si="11"/>
        <v>12068.143124999997</v>
      </c>
      <c r="AT30" s="219">
        <f t="shared" si="12"/>
        <v>48272.572499999987</v>
      </c>
    </row>
    <row r="31" spans="2:46" hidden="1">
      <c r="B31" s="174" t="s">
        <v>186</v>
      </c>
      <c r="C31" s="172"/>
      <c r="D31" s="173"/>
      <c r="E31" s="166"/>
      <c r="F31" s="135"/>
      <c r="G31" s="135"/>
      <c r="H31" s="135">
        <f>SUM(H27:H30)</f>
        <v>7650</v>
      </c>
      <c r="I31" s="135"/>
      <c r="J31" s="135"/>
      <c r="K31" s="135"/>
      <c r="L31" s="135">
        <f>SUM(L27:L30)</f>
        <v>13650</v>
      </c>
      <c r="M31" s="135"/>
      <c r="N31" s="135"/>
      <c r="O31" s="135"/>
      <c r="P31" s="135">
        <f>SUM(P27:P30)</f>
        <v>13650</v>
      </c>
      <c r="Q31" s="135"/>
      <c r="R31" s="135"/>
      <c r="S31" s="135"/>
      <c r="T31" s="136">
        <f t="shared" ref="T31:AP31" si="13">SUM(T27:T30)</f>
        <v>13650</v>
      </c>
      <c r="U31" s="217">
        <f>SUM(U27:U30)</f>
        <v>48600</v>
      </c>
      <c r="V31" s="218">
        <f t="shared" si="13"/>
        <v>15697.499999999996</v>
      </c>
      <c r="W31" s="218">
        <f t="shared" si="13"/>
        <v>15697.499999999996</v>
      </c>
      <c r="X31" s="218">
        <f t="shared" si="13"/>
        <v>15697.499999999996</v>
      </c>
      <c r="Y31" s="218">
        <f t="shared" si="13"/>
        <v>15697.499999999996</v>
      </c>
      <c r="Z31" s="218">
        <f t="shared" si="13"/>
        <v>62789.999999999985</v>
      </c>
      <c r="AA31" s="218">
        <f t="shared" si="13"/>
        <v>18052.124999999996</v>
      </c>
      <c r="AB31" s="218">
        <f t="shared" si="13"/>
        <v>18052.124999999996</v>
      </c>
      <c r="AC31" s="218">
        <f t="shared" si="13"/>
        <v>18052.124999999996</v>
      </c>
      <c r="AD31" s="218">
        <f t="shared" si="13"/>
        <v>18052.124999999996</v>
      </c>
      <c r="AE31" s="218">
        <f t="shared" si="13"/>
        <v>72208.499999999985</v>
      </c>
      <c r="AF31" s="218">
        <f t="shared" si="13"/>
        <v>20759.943749999991</v>
      </c>
      <c r="AG31" s="218">
        <f t="shared" si="13"/>
        <v>20759.943749999991</v>
      </c>
      <c r="AH31" s="218">
        <f t="shared" si="13"/>
        <v>20759.943749999991</v>
      </c>
      <c r="AI31" s="218">
        <f t="shared" si="13"/>
        <v>20759.943749999991</v>
      </c>
      <c r="AJ31" s="218">
        <f t="shared" si="13"/>
        <v>83039.774999999965</v>
      </c>
      <c r="AK31" s="218">
        <f t="shared" si="13"/>
        <v>23873.935312499991</v>
      </c>
      <c r="AL31" s="218">
        <f t="shared" si="13"/>
        <v>23873.935312499991</v>
      </c>
      <c r="AM31" s="218">
        <f t="shared" si="13"/>
        <v>23873.935312499991</v>
      </c>
      <c r="AN31" s="218">
        <f t="shared" si="13"/>
        <v>23873.935312499991</v>
      </c>
      <c r="AO31" s="219">
        <f t="shared" si="13"/>
        <v>95495.741249999963</v>
      </c>
      <c r="AP31" s="218">
        <f t="shared" si="13"/>
        <v>27455.025609374992</v>
      </c>
      <c r="AQ31" s="218">
        <f t="shared" ref="AQ31:AS31" si="14">SUM(AQ27:AQ30)</f>
        <v>27455.025609374992</v>
      </c>
      <c r="AR31" s="218">
        <f t="shared" si="14"/>
        <v>27455.025609374992</v>
      </c>
      <c r="AS31" s="218">
        <f t="shared" si="14"/>
        <v>27455.025609374992</v>
      </c>
      <c r="AT31" s="219">
        <f>SUM(AT27:AT30)</f>
        <v>109820.10243749997</v>
      </c>
    </row>
    <row r="32" spans="2:46" hidden="1">
      <c r="B32" s="174" t="s">
        <v>189</v>
      </c>
      <c r="C32" s="172"/>
      <c r="D32" s="173"/>
      <c r="E32" s="161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3"/>
      <c r="U32" s="217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8"/>
      <c r="AJ32" s="218"/>
      <c r="AK32" s="218"/>
      <c r="AL32" s="218"/>
      <c r="AM32" s="218"/>
      <c r="AN32" s="218"/>
      <c r="AO32" s="219"/>
      <c r="AP32" s="218"/>
      <c r="AQ32" s="218"/>
      <c r="AR32" s="218"/>
      <c r="AS32" s="218"/>
      <c r="AT32" s="219">
        <f t="shared" si="12"/>
        <v>0</v>
      </c>
    </row>
    <row r="33" spans="2:46" hidden="1">
      <c r="B33" s="171" t="s">
        <v>190</v>
      </c>
      <c r="C33" s="172">
        <f>SUM('Cost Assumptions'!D27:D32)*'CostRev comparison'!$D$5</f>
        <v>20500</v>
      </c>
      <c r="D33" s="173"/>
      <c r="E33" s="161">
        <f>$C33-'Cost Assumptions'!$D$29</f>
        <v>20000</v>
      </c>
      <c r="F33" s="161">
        <f>$C33-'Cost Assumptions'!$D$29</f>
        <v>20000</v>
      </c>
      <c r="G33" s="161">
        <f>$C33-'Cost Assumptions'!$D$29</f>
        <v>20000</v>
      </c>
      <c r="H33" s="132">
        <f t="shared" ref="H33:H38" si="15">SUM(E33:G33)</f>
        <v>60000</v>
      </c>
      <c r="I33" s="132">
        <f t="shared" ref="I33:K38" si="16">$C33</f>
        <v>20500</v>
      </c>
      <c r="J33" s="132">
        <f t="shared" si="16"/>
        <v>20500</v>
      </c>
      <c r="K33" s="132">
        <f t="shared" si="16"/>
        <v>20500</v>
      </c>
      <c r="L33" s="132">
        <f t="shared" ref="L33:L38" si="17">SUM(I33:K33)</f>
        <v>61500</v>
      </c>
      <c r="M33" s="132">
        <f t="shared" ref="M33:O38" si="18">$C33</f>
        <v>20500</v>
      </c>
      <c r="N33" s="132">
        <f t="shared" si="18"/>
        <v>20500</v>
      </c>
      <c r="O33" s="132">
        <f t="shared" si="18"/>
        <v>20500</v>
      </c>
      <c r="P33" s="132">
        <f t="shared" ref="P33:P38" si="19">SUM(M33:O33)</f>
        <v>61500</v>
      </c>
      <c r="Q33" s="132">
        <f t="shared" ref="Q33:S38" si="20">$C33</f>
        <v>20500</v>
      </c>
      <c r="R33" s="132">
        <f t="shared" si="20"/>
        <v>20500</v>
      </c>
      <c r="S33" s="132">
        <f t="shared" si="20"/>
        <v>20500</v>
      </c>
      <c r="T33" s="133">
        <f t="shared" ref="T33:T38" si="21">SUM(Q33:S33)</f>
        <v>61500</v>
      </c>
      <c r="U33" s="217">
        <f t="shared" ref="U33:U38" si="22">SUM(E33:G33)+SUM(I33:K33)+SUM(M33:O33)+SUM(Q33:S33)</f>
        <v>244500</v>
      </c>
      <c r="V33" s="218">
        <f t="shared" ref="V33:Y38" si="23">$C33*3*(1+$W$5)</f>
        <v>70725</v>
      </c>
      <c r="W33" s="218">
        <f t="shared" si="23"/>
        <v>70725</v>
      </c>
      <c r="X33" s="218">
        <f t="shared" si="23"/>
        <v>70725</v>
      </c>
      <c r="Y33" s="218">
        <f t="shared" si="23"/>
        <v>70725</v>
      </c>
      <c r="Z33" s="218">
        <f t="shared" ref="Z33:Z38" si="24">SUM(V33:Y33)</f>
        <v>282900</v>
      </c>
      <c r="AA33" s="218">
        <f t="shared" ref="AA33:AD38" si="25">$C33*3*((1+$W$5)*(1+$AB$5))</f>
        <v>81333.749999999985</v>
      </c>
      <c r="AB33" s="218">
        <f t="shared" si="25"/>
        <v>81333.749999999985</v>
      </c>
      <c r="AC33" s="218">
        <f t="shared" si="25"/>
        <v>81333.749999999985</v>
      </c>
      <c r="AD33" s="218">
        <f t="shared" si="25"/>
        <v>81333.749999999985</v>
      </c>
      <c r="AE33" s="218">
        <f t="shared" ref="AE33:AE38" si="26">SUM(AA33:AD33)</f>
        <v>325334.99999999994</v>
      </c>
      <c r="AF33" s="218">
        <f t="shared" ref="AF33:AI38" si="27">$C33*3*(((1+$W$5)*(1+$AB$5)*(1+$AG$5)))</f>
        <v>93533.812499999971</v>
      </c>
      <c r="AG33" s="218">
        <f t="shared" si="27"/>
        <v>93533.812499999971</v>
      </c>
      <c r="AH33" s="218">
        <f t="shared" si="27"/>
        <v>93533.812499999971</v>
      </c>
      <c r="AI33" s="218">
        <f t="shared" si="27"/>
        <v>93533.812499999971</v>
      </c>
      <c r="AJ33" s="218">
        <f t="shared" ref="AJ33:AJ38" si="28">SUM(AF33:AI33)</f>
        <v>374135.24999999988</v>
      </c>
      <c r="AK33" s="218">
        <f t="shared" ref="AK33:AP38" si="29">$C33*3*((1+$W$5)*(1+$AB$5)*(1+$AG$5)*(1+$AL$5))</f>
        <v>107563.88437499997</v>
      </c>
      <c r="AL33" s="218">
        <f t="shared" si="29"/>
        <v>107563.88437499997</v>
      </c>
      <c r="AM33" s="218">
        <f t="shared" si="29"/>
        <v>107563.88437499997</v>
      </c>
      <c r="AN33" s="218">
        <f t="shared" si="29"/>
        <v>107563.88437499997</v>
      </c>
      <c r="AO33" s="219">
        <f t="shared" ref="AO33:AO38" si="30">SUM(AK33:AN33)</f>
        <v>430255.53749999986</v>
      </c>
      <c r="AP33" s="218">
        <f>$C33*3*((1+$W$5)*(1+$AB$5)*(1+$AG$5)*(1+$AL$5)*(1+$AQ$5))</f>
        <v>123698.46703124997</v>
      </c>
      <c r="AQ33" s="218">
        <f>$C33*3*((1+$W$5)*(1+$AB$5)*(1+$AG$5)*(1+$AL$5)*(1+$AQ$5))</f>
        <v>123698.46703124997</v>
      </c>
      <c r="AR33" s="218">
        <f>$C33*3*((1+$W$5)*(1+$AB$5)*(1+$AG$5)*(1+$AL$5)*(1+$AQ$5))</f>
        <v>123698.46703124997</v>
      </c>
      <c r="AS33" s="218">
        <f>$C33*3*((1+$W$5)*(1+$AB$5)*(1+$AG$5)*(1+$AL$5)*(1+$AQ$5))</f>
        <v>123698.46703124997</v>
      </c>
      <c r="AT33" s="219">
        <f t="shared" si="12"/>
        <v>494793.86812499986</v>
      </c>
    </row>
    <row r="34" spans="2:46" hidden="1">
      <c r="B34" s="171" t="s">
        <v>191</v>
      </c>
      <c r="C34" s="172">
        <f>SUM('Cost Assumptions'!D35+'Cost Assumptions'!D36+'Cost Assumptions'!D37+'Cost Assumptions'!D39+'Cost Assumptions'!D40 )*'CostRev comparison'!$D$5</f>
        <v>17500</v>
      </c>
      <c r="D34" s="173"/>
      <c r="E34" s="161">
        <f>$C34-'Cost Assumptions'!$D$36-'Cost Assumptions'!$D$35</f>
        <v>9500</v>
      </c>
      <c r="F34" s="161">
        <f>$C34-'Cost Assumptions'!$D$36-'Cost Assumptions'!$D$35</f>
        <v>9500</v>
      </c>
      <c r="G34" s="161">
        <f>$C34-'Cost Assumptions'!$D$36-'Cost Assumptions'!$D$35</f>
        <v>9500</v>
      </c>
      <c r="H34" s="132">
        <f t="shared" si="15"/>
        <v>28500</v>
      </c>
      <c r="I34" s="132">
        <f>$C34-'Cost Assumptions'!$D$36/2-'Cost Assumptions'!$D$35</f>
        <v>12500</v>
      </c>
      <c r="J34" s="132">
        <f>$C34-'Cost Assumptions'!$D$36/2</f>
        <v>14500</v>
      </c>
      <c r="K34" s="132">
        <f t="shared" si="16"/>
        <v>17500</v>
      </c>
      <c r="L34" s="132">
        <f t="shared" si="17"/>
        <v>44500</v>
      </c>
      <c r="M34" s="132">
        <f t="shared" si="18"/>
        <v>17500</v>
      </c>
      <c r="N34" s="132">
        <f t="shared" si="18"/>
        <v>17500</v>
      </c>
      <c r="O34" s="132">
        <f t="shared" si="18"/>
        <v>17500</v>
      </c>
      <c r="P34" s="132">
        <f t="shared" si="19"/>
        <v>52500</v>
      </c>
      <c r="Q34" s="132">
        <f t="shared" si="20"/>
        <v>17500</v>
      </c>
      <c r="R34" s="132">
        <f t="shared" si="20"/>
        <v>17500</v>
      </c>
      <c r="S34" s="132">
        <f t="shared" si="20"/>
        <v>17500</v>
      </c>
      <c r="T34" s="133">
        <f t="shared" si="21"/>
        <v>52500</v>
      </c>
      <c r="U34" s="217">
        <f t="shared" si="22"/>
        <v>178000</v>
      </c>
      <c r="V34" s="218">
        <f t="shared" si="23"/>
        <v>60374.999999999993</v>
      </c>
      <c r="W34" s="218">
        <f t="shared" si="23"/>
        <v>60374.999999999993</v>
      </c>
      <c r="X34" s="218">
        <f t="shared" si="23"/>
        <v>60374.999999999993</v>
      </c>
      <c r="Y34" s="218">
        <f t="shared" si="23"/>
        <v>60374.999999999993</v>
      </c>
      <c r="Z34" s="218">
        <f t="shared" si="24"/>
        <v>241499.99999999997</v>
      </c>
      <c r="AA34" s="218">
        <f t="shared" si="25"/>
        <v>69431.249999999985</v>
      </c>
      <c r="AB34" s="218">
        <f t="shared" si="25"/>
        <v>69431.249999999985</v>
      </c>
      <c r="AC34" s="218">
        <f t="shared" si="25"/>
        <v>69431.249999999985</v>
      </c>
      <c r="AD34" s="218">
        <f t="shared" si="25"/>
        <v>69431.249999999985</v>
      </c>
      <c r="AE34" s="218">
        <f t="shared" si="26"/>
        <v>277724.99999999994</v>
      </c>
      <c r="AF34" s="218">
        <f t="shared" si="27"/>
        <v>79845.937499999971</v>
      </c>
      <c r="AG34" s="218">
        <f t="shared" si="27"/>
        <v>79845.937499999971</v>
      </c>
      <c r="AH34" s="218">
        <f t="shared" si="27"/>
        <v>79845.937499999971</v>
      </c>
      <c r="AI34" s="218">
        <f t="shared" si="27"/>
        <v>79845.937499999971</v>
      </c>
      <c r="AJ34" s="218">
        <f t="shared" si="28"/>
        <v>319383.74999999988</v>
      </c>
      <c r="AK34" s="218">
        <f t="shared" si="29"/>
        <v>91822.828124999971</v>
      </c>
      <c r="AL34" s="218">
        <f t="shared" si="29"/>
        <v>91822.828124999971</v>
      </c>
      <c r="AM34" s="218">
        <f t="shared" si="29"/>
        <v>91822.828124999971</v>
      </c>
      <c r="AN34" s="218">
        <f t="shared" si="29"/>
        <v>91822.828124999971</v>
      </c>
      <c r="AO34" s="219">
        <f t="shared" si="30"/>
        <v>367291.31249999988</v>
      </c>
      <c r="AP34" s="218">
        <f t="shared" ref="AP34:AS38" si="31">$C34*3*((1+$W$5)*(1+$AB$5)*(1+$AG$5)*(1+$AL$5)*(1+$AQ$5))</f>
        <v>105596.25234374996</v>
      </c>
      <c r="AQ34" s="218">
        <f t="shared" si="31"/>
        <v>105596.25234374996</v>
      </c>
      <c r="AR34" s="218">
        <f t="shared" si="31"/>
        <v>105596.25234374996</v>
      </c>
      <c r="AS34" s="218">
        <f t="shared" si="31"/>
        <v>105596.25234374996</v>
      </c>
      <c r="AT34" s="219">
        <f t="shared" si="12"/>
        <v>422385.00937499985</v>
      </c>
    </row>
    <row r="35" spans="2:46" hidden="1">
      <c r="B35" s="171" t="s">
        <v>200</v>
      </c>
      <c r="C35" s="172">
        <f>'Cost Assumptions'!D33*'CostRev comparison'!$D$5</f>
        <v>1500</v>
      </c>
      <c r="D35" s="173"/>
      <c r="E35" s="161">
        <f>$C35-$C35</f>
        <v>0</v>
      </c>
      <c r="F35" s="161">
        <f t="shared" ref="F35:G35" si="32">$C35-$C35</f>
        <v>0</v>
      </c>
      <c r="G35" s="161">
        <f t="shared" si="32"/>
        <v>0</v>
      </c>
      <c r="H35" s="132">
        <f t="shared" si="15"/>
        <v>0</v>
      </c>
      <c r="I35" s="132">
        <f t="shared" si="16"/>
        <v>1500</v>
      </c>
      <c r="J35" s="132">
        <f t="shared" si="16"/>
        <v>1500</v>
      </c>
      <c r="K35" s="132">
        <f t="shared" si="16"/>
        <v>1500</v>
      </c>
      <c r="L35" s="132">
        <f t="shared" si="17"/>
        <v>4500</v>
      </c>
      <c r="M35" s="132">
        <f t="shared" si="18"/>
        <v>1500</v>
      </c>
      <c r="N35" s="132">
        <f t="shared" si="18"/>
        <v>1500</v>
      </c>
      <c r="O35" s="132">
        <f t="shared" si="18"/>
        <v>1500</v>
      </c>
      <c r="P35" s="132">
        <f t="shared" si="19"/>
        <v>4500</v>
      </c>
      <c r="Q35" s="132">
        <f t="shared" si="20"/>
        <v>1500</v>
      </c>
      <c r="R35" s="132">
        <f t="shared" si="20"/>
        <v>1500</v>
      </c>
      <c r="S35" s="132">
        <f t="shared" si="20"/>
        <v>1500</v>
      </c>
      <c r="T35" s="133">
        <f t="shared" si="21"/>
        <v>4500</v>
      </c>
      <c r="U35" s="217">
        <f t="shared" si="22"/>
        <v>13500</v>
      </c>
      <c r="V35" s="218">
        <f t="shared" si="23"/>
        <v>5175</v>
      </c>
      <c r="W35" s="218">
        <f t="shared" si="23"/>
        <v>5175</v>
      </c>
      <c r="X35" s="218">
        <f t="shared" si="23"/>
        <v>5175</v>
      </c>
      <c r="Y35" s="218">
        <f t="shared" si="23"/>
        <v>5175</v>
      </c>
      <c r="Z35" s="218">
        <f t="shared" si="24"/>
        <v>20700</v>
      </c>
      <c r="AA35" s="218">
        <f t="shared" si="25"/>
        <v>5951.2499999999991</v>
      </c>
      <c r="AB35" s="218">
        <f t="shared" si="25"/>
        <v>5951.2499999999991</v>
      </c>
      <c r="AC35" s="218">
        <f t="shared" si="25"/>
        <v>5951.2499999999991</v>
      </c>
      <c r="AD35" s="218">
        <f t="shared" si="25"/>
        <v>5951.2499999999991</v>
      </c>
      <c r="AE35" s="218">
        <f t="shared" si="26"/>
        <v>23804.999999999996</v>
      </c>
      <c r="AF35" s="218">
        <f t="shared" si="27"/>
        <v>6843.9374999999982</v>
      </c>
      <c r="AG35" s="218">
        <f t="shared" si="27"/>
        <v>6843.9374999999982</v>
      </c>
      <c r="AH35" s="218">
        <f t="shared" si="27"/>
        <v>6843.9374999999982</v>
      </c>
      <c r="AI35" s="218">
        <f t="shared" si="27"/>
        <v>6843.9374999999982</v>
      </c>
      <c r="AJ35" s="218">
        <f t="shared" si="28"/>
        <v>27375.749999999993</v>
      </c>
      <c r="AK35" s="218">
        <f t="shared" si="29"/>
        <v>7870.5281249999971</v>
      </c>
      <c r="AL35" s="218">
        <f t="shared" si="29"/>
        <v>7870.5281249999971</v>
      </c>
      <c r="AM35" s="218">
        <f t="shared" si="29"/>
        <v>7870.5281249999971</v>
      </c>
      <c r="AN35" s="218">
        <f t="shared" si="29"/>
        <v>7870.5281249999971</v>
      </c>
      <c r="AO35" s="219">
        <f t="shared" si="30"/>
        <v>31482.112499999988</v>
      </c>
      <c r="AP35" s="218">
        <f t="shared" si="31"/>
        <v>9051.1073437499963</v>
      </c>
      <c r="AQ35" s="218">
        <f t="shared" si="31"/>
        <v>9051.1073437499963</v>
      </c>
      <c r="AR35" s="218">
        <f t="shared" si="31"/>
        <v>9051.1073437499963</v>
      </c>
      <c r="AS35" s="218">
        <f t="shared" si="31"/>
        <v>9051.1073437499963</v>
      </c>
      <c r="AT35" s="219">
        <f t="shared" si="12"/>
        <v>36204.429374999985</v>
      </c>
    </row>
    <row r="36" spans="2:46" hidden="1">
      <c r="B36" s="171" t="s">
        <v>210</v>
      </c>
      <c r="C36" s="172">
        <f>'Cost Assumptions'!D49*'CostRev comparison'!$D$5</f>
        <v>3000</v>
      </c>
      <c r="D36" s="173"/>
      <c r="E36" s="161">
        <f t="shared" ref="E36:G38" si="33">$C36</f>
        <v>3000</v>
      </c>
      <c r="F36" s="132">
        <f t="shared" si="33"/>
        <v>3000</v>
      </c>
      <c r="G36" s="132">
        <f t="shared" si="33"/>
        <v>3000</v>
      </c>
      <c r="H36" s="132">
        <f t="shared" si="15"/>
        <v>9000</v>
      </c>
      <c r="I36" s="132">
        <f t="shared" si="16"/>
        <v>3000</v>
      </c>
      <c r="J36" s="132">
        <f t="shared" si="16"/>
        <v>3000</v>
      </c>
      <c r="K36" s="132">
        <f t="shared" si="16"/>
        <v>3000</v>
      </c>
      <c r="L36" s="132">
        <f t="shared" si="17"/>
        <v>9000</v>
      </c>
      <c r="M36" s="132">
        <f t="shared" si="18"/>
        <v>3000</v>
      </c>
      <c r="N36" s="132">
        <f t="shared" si="18"/>
        <v>3000</v>
      </c>
      <c r="O36" s="132">
        <f t="shared" si="18"/>
        <v>3000</v>
      </c>
      <c r="P36" s="132">
        <f t="shared" si="19"/>
        <v>9000</v>
      </c>
      <c r="Q36" s="132">
        <f t="shared" si="20"/>
        <v>3000</v>
      </c>
      <c r="R36" s="132">
        <f t="shared" si="20"/>
        <v>3000</v>
      </c>
      <c r="S36" s="132">
        <f t="shared" si="20"/>
        <v>3000</v>
      </c>
      <c r="T36" s="133">
        <f t="shared" si="21"/>
        <v>9000</v>
      </c>
      <c r="U36" s="217">
        <f t="shared" si="22"/>
        <v>36000</v>
      </c>
      <c r="V36" s="218">
        <f t="shared" si="23"/>
        <v>10350</v>
      </c>
      <c r="W36" s="218">
        <f t="shared" si="23"/>
        <v>10350</v>
      </c>
      <c r="X36" s="218">
        <f t="shared" si="23"/>
        <v>10350</v>
      </c>
      <c r="Y36" s="218">
        <f t="shared" si="23"/>
        <v>10350</v>
      </c>
      <c r="Z36" s="218">
        <f t="shared" si="24"/>
        <v>41400</v>
      </c>
      <c r="AA36" s="218">
        <f t="shared" si="25"/>
        <v>11902.499999999998</v>
      </c>
      <c r="AB36" s="218">
        <f t="shared" si="25"/>
        <v>11902.499999999998</v>
      </c>
      <c r="AC36" s="218">
        <f t="shared" si="25"/>
        <v>11902.499999999998</v>
      </c>
      <c r="AD36" s="218">
        <f t="shared" si="25"/>
        <v>11902.499999999998</v>
      </c>
      <c r="AE36" s="218">
        <f t="shared" si="26"/>
        <v>47609.999999999993</v>
      </c>
      <c r="AF36" s="218">
        <f t="shared" si="27"/>
        <v>13687.874999999996</v>
      </c>
      <c r="AG36" s="218">
        <f t="shared" si="27"/>
        <v>13687.874999999996</v>
      </c>
      <c r="AH36" s="218">
        <f t="shared" si="27"/>
        <v>13687.874999999996</v>
      </c>
      <c r="AI36" s="218">
        <f t="shared" si="27"/>
        <v>13687.874999999996</v>
      </c>
      <c r="AJ36" s="218">
        <f t="shared" si="28"/>
        <v>54751.499999999985</v>
      </c>
      <c r="AK36" s="218">
        <f t="shared" si="29"/>
        <v>15741.056249999994</v>
      </c>
      <c r="AL36" s="218">
        <f t="shared" si="29"/>
        <v>15741.056249999994</v>
      </c>
      <c r="AM36" s="218">
        <f t="shared" si="29"/>
        <v>15741.056249999994</v>
      </c>
      <c r="AN36" s="218">
        <f t="shared" si="29"/>
        <v>15741.056249999994</v>
      </c>
      <c r="AO36" s="219">
        <f t="shared" si="30"/>
        <v>62964.224999999977</v>
      </c>
      <c r="AP36" s="218">
        <f t="shared" si="31"/>
        <v>18102.214687499993</v>
      </c>
      <c r="AQ36" s="218">
        <f t="shared" si="31"/>
        <v>18102.214687499993</v>
      </c>
      <c r="AR36" s="218">
        <f t="shared" si="31"/>
        <v>18102.214687499993</v>
      </c>
      <c r="AS36" s="218">
        <f t="shared" si="31"/>
        <v>18102.214687499993</v>
      </c>
      <c r="AT36" s="219">
        <f t="shared" si="12"/>
        <v>72408.85874999997</v>
      </c>
    </row>
    <row r="37" spans="2:46" hidden="1">
      <c r="B37" s="171" t="s">
        <v>103</v>
      </c>
      <c r="C37" s="172">
        <f>(C33+C34)*$D$5*'Cost Assumptions'!D43</f>
        <v>5244</v>
      </c>
      <c r="D37" s="173"/>
      <c r="E37" s="161">
        <f t="shared" si="33"/>
        <v>5244</v>
      </c>
      <c r="F37" s="132">
        <f t="shared" si="33"/>
        <v>5244</v>
      </c>
      <c r="G37" s="132">
        <f t="shared" si="33"/>
        <v>5244</v>
      </c>
      <c r="H37" s="132">
        <f t="shared" si="15"/>
        <v>15732</v>
      </c>
      <c r="I37" s="132">
        <f t="shared" si="16"/>
        <v>5244</v>
      </c>
      <c r="J37" s="132">
        <f t="shared" si="16"/>
        <v>5244</v>
      </c>
      <c r="K37" s="132">
        <f t="shared" si="16"/>
        <v>5244</v>
      </c>
      <c r="L37" s="132">
        <f t="shared" si="17"/>
        <v>15732</v>
      </c>
      <c r="M37" s="132">
        <f t="shared" si="18"/>
        <v>5244</v>
      </c>
      <c r="N37" s="132">
        <f t="shared" si="18"/>
        <v>5244</v>
      </c>
      <c r="O37" s="132">
        <f t="shared" si="18"/>
        <v>5244</v>
      </c>
      <c r="P37" s="132">
        <f t="shared" si="19"/>
        <v>15732</v>
      </c>
      <c r="Q37" s="132">
        <f t="shared" si="20"/>
        <v>5244</v>
      </c>
      <c r="R37" s="132">
        <f t="shared" si="20"/>
        <v>5244</v>
      </c>
      <c r="S37" s="132">
        <f t="shared" si="20"/>
        <v>5244</v>
      </c>
      <c r="T37" s="133">
        <f t="shared" si="21"/>
        <v>15732</v>
      </c>
      <c r="U37" s="217">
        <f t="shared" si="22"/>
        <v>62928</v>
      </c>
      <c r="V37" s="218">
        <f t="shared" si="23"/>
        <v>18091.8</v>
      </c>
      <c r="W37" s="218">
        <f t="shared" si="23"/>
        <v>18091.8</v>
      </c>
      <c r="X37" s="218">
        <f t="shared" si="23"/>
        <v>18091.8</v>
      </c>
      <c r="Y37" s="218">
        <f t="shared" si="23"/>
        <v>18091.8</v>
      </c>
      <c r="Z37" s="218">
        <f t="shared" si="24"/>
        <v>72367.199999999997</v>
      </c>
      <c r="AA37" s="218">
        <f t="shared" si="25"/>
        <v>20805.569999999996</v>
      </c>
      <c r="AB37" s="218">
        <f t="shared" si="25"/>
        <v>20805.569999999996</v>
      </c>
      <c r="AC37" s="218">
        <f t="shared" si="25"/>
        <v>20805.569999999996</v>
      </c>
      <c r="AD37" s="218">
        <f t="shared" si="25"/>
        <v>20805.569999999996</v>
      </c>
      <c r="AE37" s="218">
        <f t="shared" si="26"/>
        <v>83222.279999999984</v>
      </c>
      <c r="AF37" s="218">
        <f t="shared" si="27"/>
        <v>23926.405499999993</v>
      </c>
      <c r="AG37" s="218">
        <f t="shared" si="27"/>
        <v>23926.405499999993</v>
      </c>
      <c r="AH37" s="218">
        <f t="shared" si="27"/>
        <v>23926.405499999993</v>
      </c>
      <c r="AI37" s="218">
        <f t="shared" si="27"/>
        <v>23926.405499999993</v>
      </c>
      <c r="AJ37" s="218">
        <f t="shared" si="28"/>
        <v>95705.621999999974</v>
      </c>
      <c r="AK37" s="218">
        <f t="shared" si="29"/>
        <v>27515.366324999992</v>
      </c>
      <c r="AL37" s="218">
        <f t="shared" si="29"/>
        <v>27515.366324999992</v>
      </c>
      <c r="AM37" s="218">
        <f t="shared" si="29"/>
        <v>27515.366324999992</v>
      </c>
      <c r="AN37" s="218">
        <f t="shared" si="29"/>
        <v>27515.366324999992</v>
      </c>
      <c r="AO37" s="219">
        <f t="shared" si="30"/>
        <v>110061.46529999997</v>
      </c>
      <c r="AP37" s="218">
        <f t="shared" si="31"/>
        <v>31642.671273749991</v>
      </c>
      <c r="AQ37" s="218">
        <f t="shared" si="31"/>
        <v>31642.671273749991</v>
      </c>
      <c r="AR37" s="218">
        <f t="shared" si="31"/>
        <v>31642.671273749991</v>
      </c>
      <c r="AS37" s="218">
        <f t="shared" si="31"/>
        <v>31642.671273749991</v>
      </c>
      <c r="AT37" s="219">
        <f t="shared" si="12"/>
        <v>126570.68509499996</v>
      </c>
    </row>
    <row r="38" spans="2:46" ht="17" hidden="1" thickBot="1">
      <c r="B38" s="171" t="s">
        <v>193</v>
      </c>
      <c r="C38" s="172">
        <f>(C33+C34)*$D$5*'Cost Assumptions'!D42</f>
        <v>5700</v>
      </c>
      <c r="D38" s="173"/>
      <c r="E38" s="161">
        <f t="shared" si="33"/>
        <v>5700</v>
      </c>
      <c r="F38" s="132">
        <f t="shared" si="33"/>
        <v>5700</v>
      </c>
      <c r="G38" s="132">
        <f t="shared" si="33"/>
        <v>5700</v>
      </c>
      <c r="H38" s="132">
        <f t="shared" si="15"/>
        <v>17100</v>
      </c>
      <c r="I38" s="132">
        <f t="shared" si="16"/>
        <v>5700</v>
      </c>
      <c r="J38" s="132">
        <f t="shared" si="16"/>
        <v>5700</v>
      </c>
      <c r="K38" s="132">
        <f t="shared" si="16"/>
        <v>5700</v>
      </c>
      <c r="L38" s="132">
        <f t="shared" si="17"/>
        <v>17100</v>
      </c>
      <c r="M38" s="132">
        <f t="shared" si="18"/>
        <v>5700</v>
      </c>
      <c r="N38" s="132">
        <f t="shared" si="18"/>
        <v>5700</v>
      </c>
      <c r="O38" s="132">
        <f t="shared" si="18"/>
        <v>5700</v>
      </c>
      <c r="P38" s="132">
        <f t="shared" si="19"/>
        <v>17100</v>
      </c>
      <c r="Q38" s="132">
        <f t="shared" si="20"/>
        <v>5700</v>
      </c>
      <c r="R38" s="132">
        <f t="shared" si="20"/>
        <v>5700</v>
      </c>
      <c r="S38" s="132">
        <f t="shared" si="20"/>
        <v>5700</v>
      </c>
      <c r="T38" s="133">
        <f t="shared" si="21"/>
        <v>17100</v>
      </c>
      <c r="U38" s="217">
        <f t="shared" si="22"/>
        <v>68400</v>
      </c>
      <c r="V38" s="218">
        <f t="shared" si="23"/>
        <v>19665</v>
      </c>
      <c r="W38" s="218">
        <f t="shared" si="23"/>
        <v>19665</v>
      </c>
      <c r="X38" s="218">
        <f t="shared" si="23"/>
        <v>19665</v>
      </c>
      <c r="Y38" s="218">
        <f t="shared" si="23"/>
        <v>19665</v>
      </c>
      <c r="Z38" s="218">
        <f t="shared" si="24"/>
        <v>78660</v>
      </c>
      <c r="AA38" s="218">
        <f t="shared" si="25"/>
        <v>22614.749999999996</v>
      </c>
      <c r="AB38" s="218">
        <f t="shared" si="25"/>
        <v>22614.749999999996</v>
      </c>
      <c r="AC38" s="218">
        <f t="shared" si="25"/>
        <v>22614.749999999996</v>
      </c>
      <c r="AD38" s="218">
        <f t="shared" si="25"/>
        <v>22614.749999999996</v>
      </c>
      <c r="AE38" s="218">
        <f t="shared" si="26"/>
        <v>90458.999999999985</v>
      </c>
      <c r="AF38" s="218">
        <f t="shared" si="27"/>
        <v>26006.962499999991</v>
      </c>
      <c r="AG38" s="218">
        <f t="shared" si="27"/>
        <v>26006.962499999991</v>
      </c>
      <c r="AH38" s="218">
        <f t="shared" si="27"/>
        <v>26006.962499999991</v>
      </c>
      <c r="AI38" s="218">
        <f t="shared" si="27"/>
        <v>26006.962499999991</v>
      </c>
      <c r="AJ38" s="218">
        <f t="shared" si="28"/>
        <v>104027.84999999996</v>
      </c>
      <c r="AK38" s="218">
        <f t="shared" si="29"/>
        <v>29908.006874999992</v>
      </c>
      <c r="AL38" s="218">
        <f t="shared" si="29"/>
        <v>29908.006874999992</v>
      </c>
      <c r="AM38" s="218">
        <f t="shared" si="29"/>
        <v>29908.006874999992</v>
      </c>
      <c r="AN38" s="218">
        <f t="shared" si="29"/>
        <v>29908.006874999992</v>
      </c>
      <c r="AO38" s="219">
        <f t="shared" si="30"/>
        <v>119632.02749999997</v>
      </c>
      <c r="AP38" s="218">
        <f t="shared" si="31"/>
        <v>34394.207906249991</v>
      </c>
      <c r="AQ38" s="218">
        <f t="shared" si="31"/>
        <v>34394.207906249991</v>
      </c>
      <c r="AR38" s="218">
        <f t="shared" si="31"/>
        <v>34394.207906249991</v>
      </c>
      <c r="AS38" s="218">
        <f t="shared" si="31"/>
        <v>34394.207906249991</v>
      </c>
      <c r="AT38" s="219">
        <f t="shared" si="12"/>
        <v>137576.83162499996</v>
      </c>
    </row>
    <row r="39" spans="2:46" hidden="1">
      <c r="B39" s="174" t="s">
        <v>189</v>
      </c>
      <c r="C39" s="172"/>
      <c r="D39" s="173"/>
      <c r="E39" s="166"/>
      <c r="F39" s="135"/>
      <c r="G39" s="135"/>
      <c r="H39" s="135">
        <f>SUM(H33:H38)</f>
        <v>130332</v>
      </c>
      <c r="I39" s="135"/>
      <c r="J39" s="135"/>
      <c r="K39" s="135"/>
      <c r="L39" s="135">
        <f>SUM(L33:L38)</f>
        <v>152332</v>
      </c>
      <c r="M39" s="135"/>
      <c r="N39" s="135"/>
      <c r="O39" s="135"/>
      <c r="P39" s="135">
        <f>SUM(P33:P38)</f>
        <v>160332</v>
      </c>
      <c r="Q39" s="135"/>
      <c r="R39" s="135"/>
      <c r="S39" s="135"/>
      <c r="T39" s="136">
        <f t="shared" ref="T39:AO39" si="34">SUM(T33:T38)</f>
        <v>160332</v>
      </c>
      <c r="U39" s="217">
        <f>SUM(U33:U38)</f>
        <v>603328</v>
      </c>
      <c r="V39" s="218">
        <f t="shared" si="34"/>
        <v>184381.8</v>
      </c>
      <c r="W39" s="218">
        <f t="shared" si="34"/>
        <v>184381.8</v>
      </c>
      <c r="X39" s="218">
        <f t="shared" si="34"/>
        <v>184381.8</v>
      </c>
      <c r="Y39" s="218">
        <f t="shared" si="34"/>
        <v>184381.8</v>
      </c>
      <c r="Z39" s="218">
        <f t="shared" si="34"/>
        <v>737527.2</v>
      </c>
      <c r="AA39" s="218">
        <f t="shared" si="34"/>
        <v>212039.06999999998</v>
      </c>
      <c r="AB39" s="218">
        <f t="shared" si="34"/>
        <v>212039.06999999998</v>
      </c>
      <c r="AC39" s="218">
        <f t="shared" si="34"/>
        <v>212039.06999999998</v>
      </c>
      <c r="AD39" s="218">
        <f t="shared" si="34"/>
        <v>212039.06999999998</v>
      </c>
      <c r="AE39" s="218">
        <f t="shared" si="34"/>
        <v>848156.27999999991</v>
      </c>
      <c r="AF39" s="218">
        <f t="shared" si="34"/>
        <v>243844.93049999993</v>
      </c>
      <c r="AG39" s="218">
        <f t="shared" si="34"/>
        <v>243844.93049999993</v>
      </c>
      <c r="AH39" s="218">
        <f t="shared" si="34"/>
        <v>243844.93049999993</v>
      </c>
      <c r="AI39" s="218">
        <f t="shared" si="34"/>
        <v>243844.93049999993</v>
      </c>
      <c r="AJ39" s="218">
        <f t="shared" si="34"/>
        <v>975379.72199999972</v>
      </c>
      <c r="AK39" s="218">
        <f t="shared" si="34"/>
        <v>280421.67007499991</v>
      </c>
      <c r="AL39" s="218">
        <f t="shared" si="34"/>
        <v>280421.67007499991</v>
      </c>
      <c r="AM39" s="218">
        <f t="shared" si="34"/>
        <v>280421.67007499991</v>
      </c>
      <c r="AN39" s="218">
        <f t="shared" si="34"/>
        <v>280421.67007499991</v>
      </c>
      <c r="AO39" s="219">
        <f t="shared" si="34"/>
        <v>1121686.6802999997</v>
      </c>
      <c r="AP39" s="218">
        <f t="shared" ref="AP39:AQ39" si="35">SUM(AP33:AP38)</f>
        <v>322484.92058624985</v>
      </c>
      <c r="AQ39" s="218">
        <f t="shared" si="35"/>
        <v>322484.92058624985</v>
      </c>
      <c r="AR39" s="218">
        <f t="shared" ref="AR39:AS39" si="36">SUM(AR33:AR38)</f>
        <v>322484.92058624985</v>
      </c>
      <c r="AS39" s="218">
        <f t="shared" si="36"/>
        <v>322484.92058624985</v>
      </c>
      <c r="AT39" s="219">
        <f>SUM(AT33:AT38)</f>
        <v>1289939.6823449994</v>
      </c>
    </row>
    <row r="40" spans="2:46" hidden="1">
      <c r="B40" s="174" t="s">
        <v>132</v>
      </c>
      <c r="C40" s="172"/>
      <c r="D40" s="173"/>
      <c r="E40" s="16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3"/>
      <c r="U40" s="217"/>
      <c r="V40" s="218"/>
      <c r="W40" s="218"/>
      <c r="X40" s="218"/>
      <c r="Y40" s="218"/>
      <c r="Z40" s="218"/>
      <c r="AA40" s="218"/>
      <c r="AB40" s="218"/>
      <c r="AC40" s="218"/>
      <c r="AD40" s="218"/>
      <c r="AE40" s="218"/>
      <c r="AF40" s="218"/>
      <c r="AG40" s="218"/>
      <c r="AH40" s="218"/>
      <c r="AI40" s="218"/>
      <c r="AJ40" s="218"/>
      <c r="AK40" s="218"/>
      <c r="AL40" s="218"/>
      <c r="AM40" s="218"/>
      <c r="AN40" s="218"/>
      <c r="AO40" s="219"/>
      <c r="AP40" s="218"/>
      <c r="AQ40" s="218"/>
      <c r="AR40" s="218"/>
      <c r="AS40" s="218"/>
      <c r="AT40" s="219">
        <f t="shared" si="12"/>
        <v>0</v>
      </c>
    </row>
    <row r="41" spans="2:46" hidden="1">
      <c r="B41" s="171" t="s">
        <v>106</v>
      </c>
      <c r="C41" s="172">
        <f>'Cost Assumptions'!D46*'CostRev comparison'!$D$5</f>
        <v>10000</v>
      </c>
      <c r="D41" s="173"/>
      <c r="E41" s="161">
        <f>$C41-C41</f>
        <v>0</v>
      </c>
      <c r="F41" s="131">
        <f>$C41-C41</f>
        <v>0</v>
      </c>
      <c r="G41" s="131">
        <f>$C41-C41</f>
        <v>0</v>
      </c>
      <c r="H41" s="132">
        <f>SUM(E41:G41)</f>
        <v>0</v>
      </c>
      <c r="I41" s="131">
        <f>$C41-$C41</f>
        <v>0</v>
      </c>
      <c r="J41" s="131">
        <f>$C41</f>
        <v>10000</v>
      </c>
      <c r="K41" s="131">
        <f>$C41</f>
        <v>10000</v>
      </c>
      <c r="L41" s="132">
        <f>SUM(I41:K41)</f>
        <v>20000</v>
      </c>
      <c r="M41" s="132">
        <f t="shared" ref="M41:O44" si="37">$C41</f>
        <v>10000</v>
      </c>
      <c r="N41" s="132">
        <f t="shared" si="37"/>
        <v>10000</v>
      </c>
      <c r="O41" s="132">
        <f t="shared" si="37"/>
        <v>10000</v>
      </c>
      <c r="P41" s="132">
        <f>SUM(M41:O41)</f>
        <v>30000</v>
      </c>
      <c r="Q41" s="132">
        <f t="shared" ref="Q41:S44" si="38">$C41</f>
        <v>10000</v>
      </c>
      <c r="R41" s="132">
        <f t="shared" si="38"/>
        <v>10000</v>
      </c>
      <c r="S41" s="132">
        <f t="shared" si="38"/>
        <v>10000</v>
      </c>
      <c r="T41" s="133">
        <f>SUM(Q41:S41)</f>
        <v>30000</v>
      </c>
      <c r="U41" s="217">
        <f>SUM(E41:G41)+SUM(I41:K41)+SUM(M41:O41)+SUM(Q41:S41)</f>
        <v>80000</v>
      </c>
      <c r="V41" s="218">
        <f t="shared" ref="V41:Y44" si="39">$C41*3*(1+$W$5)</f>
        <v>34500</v>
      </c>
      <c r="W41" s="218">
        <f t="shared" si="39"/>
        <v>34500</v>
      </c>
      <c r="X41" s="218">
        <f t="shared" si="39"/>
        <v>34500</v>
      </c>
      <c r="Y41" s="218">
        <f t="shared" si="39"/>
        <v>34500</v>
      </c>
      <c r="Z41" s="218">
        <f>SUM(V41:Y41)</f>
        <v>138000</v>
      </c>
      <c r="AA41" s="218">
        <f t="shared" ref="AA41:AD44" si="40">$C41*3*((1+$W$5)*(1+$AB$5))</f>
        <v>39674.999999999993</v>
      </c>
      <c r="AB41" s="218">
        <f t="shared" si="40"/>
        <v>39674.999999999993</v>
      </c>
      <c r="AC41" s="218">
        <f t="shared" si="40"/>
        <v>39674.999999999993</v>
      </c>
      <c r="AD41" s="218">
        <f t="shared" si="40"/>
        <v>39674.999999999993</v>
      </c>
      <c r="AE41" s="218">
        <f>SUM(AA41:AD41)</f>
        <v>158699.99999999997</v>
      </c>
      <c r="AF41" s="218">
        <f t="shared" ref="AF41:AI44" si="41">$C41*3*(((1+$W$5)*(1+$AB$5)*(1+$AG$5)))</f>
        <v>45626.249999999985</v>
      </c>
      <c r="AG41" s="218">
        <f t="shared" si="41"/>
        <v>45626.249999999985</v>
      </c>
      <c r="AH41" s="218">
        <f t="shared" si="41"/>
        <v>45626.249999999985</v>
      </c>
      <c r="AI41" s="218">
        <f t="shared" si="41"/>
        <v>45626.249999999985</v>
      </c>
      <c r="AJ41" s="218">
        <f>SUM(AF41:AI41)</f>
        <v>182504.99999999994</v>
      </c>
      <c r="AK41" s="218">
        <f t="shared" ref="AK41:AP44" si="42">$C41*3*((1+$W$5)*(1+$AB$5)*(1+$AG$5)*(1+$AL$5))</f>
        <v>52470.187499999985</v>
      </c>
      <c r="AL41" s="218">
        <f t="shared" si="42"/>
        <v>52470.187499999985</v>
      </c>
      <c r="AM41" s="218">
        <f t="shared" si="42"/>
        <v>52470.187499999985</v>
      </c>
      <c r="AN41" s="218">
        <f t="shared" si="42"/>
        <v>52470.187499999985</v>
      </c>
      <c r="AO41" s="219">
        <f>SUM(AK41:AN41)</f>
        <v>209880.74999999994</v>
      </c>
      <c r="AP41" s="218">
        <f t="shared" ref="AP41:AS44" si="43">$C41*3*((1+$W$5)*(1+$AB$5)*(1+$AG$5)*(1+$AL$5)*(1+$AQ$5))</f>
        <v>60340.715624999983</v>
      </c>
      <c r="AQ41" s="218">
        <f t="shared" si="43"/>
        <v>60340.715624999983</v>
      </c>
      <c r="AR41" s="218">
        <f t="shared" si="43"/>
        <v>60340.715624999983</v>
      </c>
      <c r="AS41" s="218">
        <f t="shared" si="43"/>
        <v>60340.715624999983</v>
      </c>
      <c r="AT41" s="219">
        <f t="shared" si="12"/>
        <v>241362.86249999993</v>
      </c>
    </row>
    <row r="42" spans="2:46" hidden="1">
      <c r="B42" s="171" t="s">
        <v>194</v>
      </c>
      <c r="C42" s="172">
        <f>'Cost Assumptions'!D47*'CostRev comparison'!$D$5</f>
        <v>5000</v>
      </c>
      <c r="D42" s="173"/>
      <c r="E42" s="161">
        <f>$C42-$C42</f>
        <v>0</v>
      </c>
      <c r="F42" s="161">
        <f>$C42-$C42</f>
        <v>0</v>
      </c>
      <c r="G42" s="161">
        <f>$C42-$C42+25000</f>
        <v>25000</v>
      </c>
      <c r="H42" s="132">
        <f>SUM(E42:G42)</f>
        <v>25000</v>
      </c>
      <c r="I42" s="161">
        <f>$C42-$C42+25000</f>
        <v>25000</v>
      </c>
      <c r="J42" s="132">
        <f t="shared" ref="I42:K44" si="44">$C42</f>
        <v>5000</v>
      </c>
      <c r="K42" s="132">
        <f t="shared" si="44"/>
        <v>5000</v>
      </c>
      <c r="L42" s="132">
        <f>SUM(I42:K42)</f>
        <v>35000</v>
      </c>
      <c r="M42" s="132">
        <f t="shared" si="37"/>
        <v>5000</v>
      </c>
      <c r="N42" s="132">
        <f t="shared" si="37"/>
        <v>5000</v>
      </c>
      <c r="O42" s="132">
        <f t="shared" si="37"/>
        <v>5000</v>
      </c>
      <c r="P42" s="132">
        <f>SUM(M42:O42)</f>
        <v>15000</v>
      </c>
      <c r="Q42" s="132">
        <f t="shared" si="38"/>
        <v>5000</v>
      </c>
      <c r="R42" s="132">
        <f t="shared" si="38"/>
        <v>5000</v>
      </c>
      <c r="S42" s="132">
        <f t="shared" si="38"/>
        <v>5000</v>
      </c>
      <c r="T42" s="133">
        <f>SUM(Q42:S42)</f>
        <v>15000</v>
      </c>
      <c r="U42" s="217">
        <f>SUM(E42:G42)+SUM(I42:K42)+SUM(M42:O42)+SUM(Q42:S42)</f>
        <v>90000</v>
      </c>
      <c r="V42" s="218">
        <f t="shared" si="39"/>
        <v>17250</v>
      </c>
      <c r="W42" s="218">
        <f t="shared" si="39"/>
        <v>17250</v>
      </c>
      <c r="X42" s="218">
        <f t="shared" si="39"/>
        <v>17250</v>
      </c>
      <c r="Y42" s="218">
        <f t="shared" si="39"/>
        <v>17250</v>
      </c>
      <c r="Z42" s="218">
        <f>SUM(V42:Y42)</f>
        <v>69000</v>
      </c>
      <c r="AA42" s="218">
        <f t="shared" si="40"/>
        <v>19837.499999999996</v>
      </c>
      <c r="AB42" s="218">
        <f t="shared" si="40"/>
        <v>19837.499999999996</v>
      </c>
      <c r="AC42" s="218">
        <f t="shared" si="40"/>
        <v>19837.499999999996</v>
      </c>
      <c r="AD42" s="218">
        <f t="shared" si="40"/>
        <v>19837.499999999996</v>
      </c>
      <c r="AE42" s="218">
        <f>SUM(AA42:AD42)</f>
        <v>79349.999999999985</v>
      </c>
      <c r="AF42" s="218">
        <f t="shared" si="41"/>
        <v>22813.124999999993</v>
      </c>
      <c r="AG42" s="218">
        <f t="shared" si="41"/>
        <v>22813.124999999993</v>
      </c>
      <c r="AH42" s="218">
        <f t="shared" si="41"/>
        <v>22813.124999999993</v>
      </c>
      <c r="AI42" s="218">
        <f t="shared" si="41"/>
        <v>22813.124999999993</v>
      </c>
      <c r="AJ42" s="218">
        <f>SUM(AF42:AI42)</f>
        <v>91252.499999999971</v>
      </c>
      <c r="AK42" s="218">
        <f t="shared" si="42"/>
        <v>26235.093749999993</v>
      </c>
      <c r="AL42" s="218">
        <f t="shared" si="42"/>
        <v>26235.093749999993</v>
      </c>
      <c r="AM42" s="218">
        <f t="shared" si="42"/>
        <v>26235.093749999993</v>
      </c>
      <c r="AN42" s="218">
        <f t="shared" si="42"/>
        <v>26235.093749999993</v>
      </c>
      <c r="AO42" s="219">
        <f>SUM(AK42:AN42)</f>
        <v>104940.37499999997</v>
      </c>
      <c r="AP42" s="218">
        <f t="shared" si="43"/>
        <v>30170.357812499991</v>
      </c>
      <c r="AQ42" s="218">
        <f t="shared" si="43"/>
        <v>30170.357812499991</v>
      </c>
      <c r="AR42" s="218">
        <f t="shared" si="43"/>
        <v>30170.357812499991</v>
      </c>
      <c r="AS42" s="218">
        <f t="shared" si="43"/>
        <v>30170.357812499991</v>
      </c>
      <c r="AT42" s="219">
        <f t="shared" si="12"/>
        <v>120681.43124999997</v>
      </c>
    </row>
    <row r="43" spans="2:46" hidden="1">
      <c r="B43" s="171" t="s">
        <v>109</v>
      </c>
      <c r="C43" s="172">
        <f>'Cost Assumptions'!D48*'CostRev comparison'!$D$5</f>
        <v>5000</v>
      </c>
      <c r="D43" s="173"/>
      <c r="E43" s="161">
        <f>$C43-C43</f>
        <v>0</v>
      </c>
      <c r="F43" s="131">
        <f>$C43-C43</f>
        <v>0</v>
      </c>
      <c r="G43" s="131">
        <f>$C43-C43</f>
        <v>0</v>
      </c>
      <c r="H43" s="132">
        <f>SUM(E43:G43)</f>
        <v>0</v>
      </c>
      <c r="I43" s="132">
        <f>$C43-$C43/2</f>
        <v>2500</v>
      </c>
      <c r="J43" s="132">
        <f>$C43-$C43/2</f>
        <v>2500</v>
      </c>
      <c r="K43" s="132">
        <f t="shared" si="44"/>
        <v>5000</v>
      </c>
      <c r="L43" s="132">
        <f>SUM(I43:K43)</f>
        <v>10000</v>
      </c>
      <c r="M43" s="132">
        <f t="shared" si="37"/>
        <v>5000</v>
      </c>
      <c r="N43" s="132">
        <f t="shared" si="37"/>
        <v>5000</v>
      </c>
      <c r="O43" s="132">
        <f t="shared" si="37"/>
        <v>5000</v>
      </c>
      <c r="P43" s="132">
        <f>SUM(M43:O43)</f>
        <v>15000</v>
      </c>
      <c r="Q43" s="132">
        <f t="shared" si="38"/>
        <v>5000</v>
      </c>
      <c r="R43" s="132">
        <f t="shared" si="38"/>
        <v>5000</v>
      </c>
      <c r="S43" s="132">
        <f t="shared" si="38"/>
        <v>5000</v>
      </c>
      <c r="T43" s="133">
        <f>SUM(Q43:S43)</f>
        <v>15000</v>
      </c>
      <c r="U43" s="217">
        <f>SUM(E43:G43)+SUM(I43:K43)+SUM(M43:O43)+SUM(Q43:S43)</f>
        <v>40000</v>
      </c>
      <c r="V43" s="218">
        <f t="shared" si="39"/>
        <v>17250</v>
      </c>
      <c r="W43" s="218">
        <f t="shared" si="39"/>
        <v>17250</v>
      </c>
      <c r="X43" s="218">
        <f t="shared" si="39"/>
        <v>17250</v>
      </c>
      <c r="Y43" s="218">
        <f t="shared" si="39"/>
        <v>17250</v>
      </c>
      <c r="Z43" s="218">
        <f>SUM(V43:Y43)</f>
        <v>69000</v>
      </c>
      <c r="AA43" s="218">
        <f t="shared" si="40"/>
        <v>19837.499999999996</v>
      </c>
      <c r="AB43" s="218">
        <f t="shared" si="40"/>
        <v>19837.499999999996</v>
      </c>
      <c r="AC43" s="218">
        <f t="shared" si="40"/>
        <v>19837.499999999996</v>
      </c>
      <c r="AD43" s="218">
        <f t="shared" si="40"/>
        <v>19837.499999999996</v>
      </c>
      <c r="AE43" s="218">
        <f>SUM(AA43:AD43)</f>
        <v>79349.999999999985</v>
      </c>
      <c r="AF43" s="218">
        <f t="shared" si="41"/>
        <v>22813.124999999993</v>
      </c>
      <c r="AG43" s="218">
        <f t="shared" si="41"/>
        <v>22813.124999999993</v>
      </c>
      <c r="AH43" s="218">
        <f t="shared" si="41"/>
        <v>22813.124999999993</v>
      </c>
      <c r="AI43" s="218">
        <f t="shared" si="41"/>
        <v>22813.124999999993</v>
      </c>
      <c r="AJ43" s="218">
        <f>SUM(AF43:AI43)</f>
        <v>91252.499999999971</v>
      </c>
      <c r="AK43" s="218">
        <f t="shared" si="42"/>
        <v>26235.093749999993</v>
      </c>
      <c r="AL43" s="218">
        <f t="shared" si="42"/>
        <v>26235.093749999993</v>
      </c>
      <c r="AM43" s="218">
        <f t="shared" si="42"/>
        <v>26235.093749999993</v>
      </c>
      <c r="AN43" s="218">
        <f t="shared" si="42"/>
        <v>26235.093749999993</v>
      </c>
      <c r="AO43" s="219">
        <f>SUM(AK43:AN43)</f>
        <v>104940.37499999997</v>
      </c>
      <c r="AP43" s="218">
        <f t="shared" si="43"/>
        <v>30170.357812499991</v>
      </c>
      <c r="AQ43" s="218">
        <f t="shared" si="43"/>
        <v>30170.357812499991</v>
      </c>
      <c r="AR43" s="218">
        <f t="shared" si="43"/>
        <v>30170.357812499991</v>
      </c>
      <c r="AS43" s="218">
        <f t="shared" si="43"/>
        <v>30170.357812499991</v>
      </c>
      <c r="AT43" s="219">
        <f t="shared" si="12"/>
        <v>120681.43124999997</v>
      </c>
    </row>
    <row r="44" spans="2:46" hidden="1">
      <c r="B44" s="171" t="s">
        <v>133</v>
      </c>
      <c r="C44" s="172">
        <f>'Cost Assumptions'!D51*'CostRev comparison'!$D$5</f>
        <v>2000</v>
      </c>
      <c r="D44" s="173"/>
      <c r="E44" s="161">
        <f t="shared" ref="E44:G44" si="45">$C44</f>
        <v>2000</v>
      </c>
      <c r="F44" s="132">
        <f t="shared" si="45"/>
        <v>2000</v>
      </c>
      <c r="G44" s="132">
        <f t="shared" si="45"/>
        <v>2000</v>
      </c>
      <c r="H44" s="132">
        <f>SUM(E44:G44)</f>
        <v>6000</v>
      </c>
      <c r="I44" s="132">
        <f t="shared" si="44"/>
        <v>2000</v>
      </c>
      <c r="J44" s="132">
        <f t="shared" si="44"/>
        <v>2000</v>
      </c>
      <c r="K44" s="132">
        <f t="shared" si="44"/>
        <v>2000</v>
      </c>
      <c r="L44" s="132">
        <f>SUM(I44:K44)</f>
        <v>6000</v>
      </c>
      <c r="M44" s="132">
        <f t="shared" si="37"/>
        <v>2000</v>
      </c>
      <c r="N44" s="132">
        <f t="shared" si="37"/>
        <v>2000</v>
      </c>
      <c r="O44" s="132">
        <f t="shared" si="37"/>
        <v>2000</v>
      </c>
      <c r="P44" s="132">
        <f>SUM(M44:O44)</f>
        <v>6000</v>
      </c>
      <c r="Q44" s="132">
        <f t="shared" si="38"/>
        <v>2000</v>
      </c>
      <c r="R44" s="132">
        <f t="shared" si="38"/>
        <v>2000</v>
      </c>
      <c r="S44" s="132">
        <f t="shared" si="38"/>
        <v>2000</v>
      </c>
      <c r="T44" s="133">
        <f>SUM(Q44:S44)</f>
        <v>6000</v>
      </c>
      <c r="U44" s="217">
        <f>SUM(E44:G44)+SUM(I44:K44)+SUM(M44:O44)+SUM(Q44:S44)</f>
        <v>24000</v>
      </c>
      <c r="V44" s="218">
        <f t="shared" si="39"/>
        <v>6899.9999999999991</v>
      </c>
      <c r="W44" s="218">
        <f t="shared" si="39"/>
        <v>6899.9999999999991</v>
      </c>
      <c r="X44" s="218">
        <f t="shared" si="39"/>
        <v>6899.9999999999991</v>
      </c>
      <c r="Y44" s="218">
        <f t="shared" si="39"/>
        <v>6899.9999999999991</v>
      </c>
      <c r="Z44" s="218">
        <f>SUM(V44:Y44)</f>
        <v>27599.999999999996</v>
      </c>
      <c r="AA44" s="218">
        <f t="shared" si="40"/>
        <v>7934.9999999999991</v>
      </c>
      <c r="AB44" s="218">
        <f t="shared" si="40"/>
        <v>7934.9999999999991</v>
      </c>
      <c r="AC44" s="218">
        <f t="shared" si="40"/>
        <v>7934.9999999999991</v>
      </c>
      <c r="AD44" s="218">
        <f t="shared" si="40"/>
        <v>7934.9999999999991</v>
      </c>
      <c r="AE44" s="218">
        <f>SUM(AA44:AD44)</f>
        <v>31739.999999999996</v>
      </c>
      <c r="AF44" s="218">
        <f t="shared" si="41"/>
        <v>9125.2499999999964</v>
      </c>
      <c r="AG44" s="218">
        <f t="shared" si="41"/>
        <v>9125.2499999999964</v>
      </c>
      <c r="AH44" s="218">
        <f t="shared" si="41"/>
        <v>9125.2499999999964</v>
      </c>
      <c r="AI44" s="218">
        <f t="shared" si="41"/>
        <v>9125.2499999999964</v>
      </c>
      <c r="AJ44" s="218">
        <f>SUM(AF44:AI44)</f>
        <v>36500.999999999985</v>
      </c>
      <c r="AK44" s="218">
        <f t="shared" si="42"/>
        <v>10494.037499999997</v>
      </c>
      <c r="AL44" s="218">
        <f t="shared" si="42"/>
        <v>10494.037499999997</v>
      </c>
      <c r="AM44" s="218">
        <f t="shared" si="42"/>
        <v>10494.037499999997</v>
      </c>
      <c r="AN44" s="218">
        <f t="shared" si="42"/>
        <v>10494.037499999997</v>
      </c>
      <c r="AO44" s="219">
        <f>SUM(AK44:AN44)</f>
        <v>41976.149999999987</v>
      </c>
      <c r="AP44" s="218">
        <f t="shared" si="43"/>
        <v>12068.143124999997</v>
      </c>
      <c r="AQ44" s="218">
        <f t="shared" si="43"/>
        <v>12068.143124999997</v>
      </c>
      <c r="AR44" s="218">
        <f t="shared" si="43"/>
        <v>12068.143124999997</v>
      </c>
      <c r="AS44" s="218">
        <f t="shared" si="43"/>
        <v>12068.143124999997</v>
      </c>
      <c r="AT44" s="219">
        <f t="shared" si="12"/>
        <v>48272.572499999987</v>
      </c>
    </row>
    <row r="45" spans="2:46" ht="17" hidden="1" thickBot="1">
      <c r="B45" s="171" t="s">
        <v>195</v>
      </c>
      <c r="C45" s="172"/>
      <c r="D45" s="173"/>
      <c r="E45" s="161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3"/>
      <c r="U45" s="217">
        <f>'Subscriber growth'!E74</f>
        <v>50000</v>
      </c>
      <c r="V45" s="218"/>
      <c r="W45" s="218"/>
      <c r="X45" s="218"/>
      <c r="Y45" s="218"/>
      <c r="Z45" s="218">
        <f>'Subscriber growth'!H74</f>
        <v>100000</v>
      </c>
      <c r="AA45" s="218"/>
      <c r="AB45" s="218"/>
      <c r="AC45" s="218"/>
      <c r="AD45" s="218"/>
      <c r="AE45" s="218">
        <f>'Subscriber growth'!K74</f>
        <v>200000</v>
      </c>
      <c r="AF45" s="218"/>
      <c r="AG45" s="218"/>
      <c r="AH45" s="218"/>
      <c r="AI45" s="218"/>
      <c r="AJ45" s="218">
        <f>'Subscriber growth'!N74</f>
        <v>400000</v>
      </c>
      <c r="AK45" s="218"/>
      <c r="AL45" s="218"/>
      <c r="AM45" s="218"/>
      <c r="AN45" s="218"/>
      <c r="AO45" s="219">
        <f>'Subscriber growth'!Q74</f>
        <v>800000</v>
      </c>
      <c r="AP45" s="218"/>
      <c r="AQ45" s="218"/>
      <c r="AR45" s="218"/>
      <c r="AS45" s="218"/>
      <c r="AT45" s="219">
        <f>'Subscriber growth'!T74</f>
        <v>800000</v>
      </c>
    </row>
    <row r="46" spans="2:46" hidden="1">
      <c r="B46" s="174" t="s">
        <v>132</v>
      </c>
      <c r="C46" s="172"/>
      <c r="D46" s="173"/>
      <c r="E46" s="166"/>
      <c r="F46" s="135"/>
      <c r="G46" s="135"/>
      <c r="H46" s="135">
        <f>SUM(H41:H44)</f>
        <v>31000</v>
      </c>
      <c r="I46" s="135"/>
      <c r="J46" s="135"/>
      <c r="K46" s="135"/>
      <c r="L46" s="135">
        <f t="shared" ref="L46:Y46" si="46">SUM(L41:L44)</f>
        <v>71000</v>
      </c>
      <c r="M46" s="135"/>
      <c r="N46" s="135"/>
      <c r="O46" s="135"/>
      <c r="P46" s="135">
        <f t="shared" si="46"/>
        <v>66000</v>
      </c>
      <c r="Q46" s="135"/>
      <c r="R46" s="135"/>
      <c r="S46" s="135"/>
      <c r="T46" s="136">
        <f t="shared" si="46"/>
        <v>66000</v>
      </c>
      <c r="U46" s="217">
        <f>SUM(U41:U45)</f>
        <v>284000</v>
      </c>
      <c r="V46" s="218">
        <f t="shared" si="46"/>
        <v>75900</v>
      </c>
      <c r="W46" s="218">
        <f t="shared" si="46"/>
        <v>75900</v>
      </c>
      <c r="X46" s="218">
        <f t="shared" si="46"/>
        <v>75900</v>
      </c>
      <c r="Y46" s="218">
        <f t="shared" si="46"/>
        <v>75900</v>
      </c>
      <c r="Z46" s="218">
        <f>SUM(Z41:Z45)</f>
        <v>403600</v>
      </c>
      <c r="AA46" s="218">
        <f t="shared" ref="AA46:AN46" si="47">SUM(AA41:AA44)</f>
        <v>87284.999999999985</v>
      </c>
      <c r="AB46" s="218">
        <f t="shared" si="47"/>
        <v>87284.999999999985</v>
      </c>
      <c r="AC46" s="218">
        <f t="shared" si="47"/>
        <v>87284.999999999985</v>
      </c>
      <c r="AD46" s="218">
        <f t="shared" si="47"/>
        <v>87284.999999999985</v>
      </c>
      <c r="AE46" s="218">
        <f>SUM(AE41:AE45)</f>
        <v>549140</v>
      </c>
      <c r="AF46" s="218">
        <f t="shared" si="47"/>
        <v>100377.74999999997</v>
      </c>
      <c r="AG46" s="218">
        <f t="shared" si="47"/>
        <v>100377.74999999997</v>
      </c>
      <c r="AH46" s="218">
        <f t="shared" si="47"/>
        <v>100377.74999999997</v>
      </c>
      <c r="AI46" s="218">
        <f t="shared" si="47"/>
        <v>100377.74999999997</v>
      </c>
      <c r="AJ46" s="218">
        <f>SUM(AJ41:AJ45)</f>
        <v>801510.99999999988</v>
      </c>
      <c r="AK46" s="218">
        <f t="shared" si="47"/>
        <v>115434.41249999996</v>
      </c>
      <c r="AL46" s="218">
        <f t="shared" si="47"/>
        <v>115434.41249999996</v>
      </c>
      <c r="AM46" s="218">
        <f t="shared" si="47"/>
        <v>115434.41249999996</v>
      </c>
      <c r="AN46" s="218">
        <f t="shared" si="47"/>
        <v>115434.41249999996</v>
      </c>
      <c r="AO46" s="219">
        <f>SUM(AO41:AO45)</f>
        <v>1261737.6499999999</v>
      </c>
      <c r="AP46" s="218">
        <f t="shared" ref="AP46:AQ46" si="48">SUM(AP41:AP44)</f>
        <v>132749.57437499997</v>
      </c>
      <c r="AQ46" s="218">
        <f t="shared" si="48"/>
        <v>132749.57437499997</v>
      </c>
      <c r="AR46" s="218">
        <f t="shared" ref="AR46:AS46" si="49">SUM(AR41:AR44)</f>
        <v>132749.57437499997</v>
      </c>
      <c r="AS46" s="218">
        <f t="shared" si="49"/>
        <v>132749.57437499997</v>
      </c>
      <c r="AT46" s="219">
        <f>SUM(AT41:AT45)</f>
        <v>1330998.2974999999</v>
      </c>
    </row>
    <row r="47" spans="2:46" hidden="1">
      <c r="B47" s="174" t="s">
        <v>135</v>
      </c>
      <c r="C47" s="172"/>
      <c r="D47" s="173"/>
      <c r="E47" s="161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3"/>
      <c r="U47" s="217"/>
      <c r="V47" s="218"/>
      <c r="W47" s="218"/>
      <c r="X47" s="218"/>
      <c r="Y47" s="218"/>
      <c r="Z47" s="218"/>
      <c r="AA47" s="218"/>
      <c r="AB47" s="218"/>
      <c r="AC47" s="218"/>
      <c r="AD47" s="218"/>
      <c r="AE47" s="218"/>
      <c r="AF47" s="218"/>
      <c r="AG47" s="218"/>
      <c r="AH47" s="218"/>
      <c r="AI47" s="218"/>
      <c r="AJ47" s="218"/>
      <c r="AK47" s="218"/>
      <c r="AL47" s="218"/>
      <c r="AM47" s="218"/>
      <c r="AN47" s="218"/>
      <c r="AO47" s="219"/>
      <c r="AP47" s="218"/>
      <c r="AQ47" s="218"/>
      <c r="AR47" s="218"/>
      <c r="AS47" s="218"/>
      <c r="AT47" s="219">
        <f t="shared" si="12"/>
        <v>0</v>
      </c>
    </row>
    <row r="48" spans="2:46" hidden="1">
      <c r="B48" s="171" t="s">
        <v>196</v>
      </c>
      <c r="C48" s="172">
        <f>'Cost Assumptions'!D53*'CostRev comparison'!$D$5</f>
        <v>1666.6666666666667</v>
      </c>
      <c r="D48" s="173"/>
      <c r="E48" s="161">
        <f t="shared" ref="E48:G53" si="50">$C48</f>
        <v>1666.6666666666667</v>
      </c>
      <c r="F48" s="132">
        <f t="shared" si="50"/>
        <v>1666.6666666666667</v>
      </c>
      <c r="G48" s="132">
        <f t="shared" si="50"/>
        <v>1666.6666666666667</v>
      </c>
      <c r="H48" s="132">
        <f t="shared" ref="H48:H54" si="51">SUM(E48:G48)</f>
        <v>5000</v>
      </c>
      <c r="I48" s="132">
        <f t="shared" ref="I48:K53" si="52">$C48</f>
        <v>1666.6666666666667</v>
      </c>
      <c r="J48" s="132">
        <f t="shared" si="52"/>
        <v>1666.6666666666667</v>
      </c>
      <c r="K48" s="132">
        <f t="shared" si="52"/>
        <v>1666.6666666666667</v>
      </c>
      <c r="L48" s="132">
        <f t="shared" ref="L48:L54" si="53">SUM(I48:K48)</f>
        <v>5000</v>
      </c>
      <c r="M48" s="132">
        <f t="shared" ref="M48:O53" si="54">$C48</f>
        <v>1666.6666666666667</v>
      </c>
      <c r="N48" s="132">
        <f t="shared" si="54"/>
        <v>1666.6666666666667</v>
      </c>
      <c r="O48" s="132">
        <f t="shared" si="54"/>
        <v>1666.6666666666667</v>
      </c>
      <c r="P48" s="132">
        <f t="shared" ref="P48:P54" si="55">SUM(M48:O48)</f>
        <v>5000</v>
      </c>
      <c r="Q48" s="132">
        <f t="shared" ref="Q48:S53" si="56">$C48</f>
        <v>1666.6666666666667</v>
      </c>
      <c r="R48" s="132">
        <f t="shared" si="56"/>
        <v>1666.6666666666667</v>
      </c>
      <c r="S48" s="132">
        <f t="shared" si="56"/>
        <v>1666.6666666666667</v>
      </c>
      <c r="T48" s="133">
        <f t="shared" ref="T48:T54" si="57">SUM(Q48:S48)</f>
        <v>5000</v>
      </c>
      <c r="U48" s="217">
        <f t="shared" ref="U48:U54" si="58">SUM(E48:G48)+SUM(I48:K48)+SUM(M48:O48)+SUM(Q48:S48)</f>
        <v>20000</v>
      </c>
      <c r="V48" s="218">
        <f t="shared" ref="V48:Y53" si="59">$C48*3*(1+$W$5)</f>
        <v>5750</v>
      </c>
      <c r="W48" s="218">
        <f t="shared" si="59"/>
        <v>5750</v>
      </c>
      <c r="X48" s="218">
        <f t="shared" si="59"/>
        <v>5750</v>
      </c>
      <c r="Y48" s="218">
        <f t="shared" si="59"/>
        <v>5750</v>
      </c>
      <c r="Z48" s="218">
        <f t="shared" ref="Z48:Z54" si="60">SUM(V48:Y48)</f>
        <v>23000</v>
      </c>
      <c r="AA48" s="218">
        <f t="shared" ref="AA48:AD53" si="61">$C48*3*((1+$W$5)*(1+$AB$5))</f>
        <v>6612.4999999999991</v>
      </c>
      <c r="AB48" s="218">
        <f t="shared" si="61"/>
        <v>6612.4999999999991</v>
      </c>
      <c r="AC48" s="218">
        <f t="shared" si="61"/>
        <v>6612.4999999999991</v>
      </c>
      <c r="AD48" s="218">
        <f t="shared" si="61"/>
        <v>6612.4999999999991</v>
      </c>
      <c r="AE48" s="218">
        <f t="shared" ref="AE48:AE54" si="62">SUM(AA48:AD48)</f>
        <v>26449.999999999996</v>
      </c>
      <c r="AF48" s="218">
        <f t="shared" ref="AF48:AI53" si="63">$C48*3*(((1+$W$5)*(1+$AB$5)*(1+$AG$5)))</f>
        <v>7604.3749999999973</v>
      </c>
      <c r="AG48" s="218">
        <f t="shared" si="63"/>
        <v>7604.3749999999973</v>
      </c>
      <c r="AH48" s="218">
        <f t="shared" si="63"/>
        <v>7604.3749999999973</v>
      </c>
      <c r="AI48" s="218">
        <f t="shared" si="63"/>
        <v>7604.3749999999973</v>
      </c>
      <c r="AJ48" s="218">
        <f t="shared" ref="AJ48:AJ54" si="64">SUM(AF48:AI48)</f>
        <v>30417.499999999989</v>
      </c>
      <c r="AK48" s="218">
        <f t="shared" ref="AK48:AP53" si="65">$C48*3*((1+$W$5)*(1+$AB$5)*(1+$AG$5)*(1+$AL$5))</f>
        <v>8745.0312499999964</v>
      </c>
      <c r="AL48" s="218">
        <f t="shared" si="65"/>
        <v>8745.0312499999964</v>
      </c>
      <c r="AM48" s="218">
        <f t="shared" si="65"/>
        <v>8745.0312499999964</v>
      </c>
      <c r="AN48" s="218">
        <f t="shared" si="65"/>
        <v>8745.0312499999964</v>
      </c>
      <c r="AO48" s="219">
        <f t="shared" ref="AO48:AO54" si="66">SUM(AK48:AN48)</f>
        <v>34980.124999999985</v>
      </c>
      <c r="AP48" s="218">
        <f t="shared" ref="AP48:AS53" si="67">$C48*3*((1+$W$5)*(1+$AB$5)*(1+$AG$5)*(1+$AL$5)*(1+$AQ$5))</f>
        <v>10056.785937499997</v>
      </c>
      <c r="AQ48" s="218">
        <f t="shared" si="67"/>
        <v>10056.785937499997</v>
      </c>
      <c r="AR48" s="218">
        <f t="shared" si="67"/>
        <v>10056.785937499997</v>
      </c>
      <c r="AS48" s="218">
        <f t="shared" si="67"/>
        <v>10056.785937499997</v>
      </c>
      <c r="AT48" s="219">
        <f t="shared" si="12"/>
        <v>40227.143749999988</v>
      </c>
    </row>
    <row r="49" spans="2:46" hidden="1">
      <c r="B49" s="171" t="s">
        <v>114</v>
      </c>
      <c r="C49" s="172">
        <f>'Cost Assumptions'!D54*'CostRev comparison'!$D$5</f>
        <v>200</v>
      </c>
      <c r="D49" s="173"/>
      <c r="E49" s="161">
        <f t="shared" si="50"/>
        <v>200</v>
      </c>
      <c r="F49" s="132">
        <f t="shared" si="50"/>
        <v>200</v>
      </c>
      <c r="G49" s="132">
        <f t="shared" si="50"/>
        <v>200</v>
      </c>
      <c r="H49" s="132">
        <f t="shared" si="51"/>
        <v>600</v>
      </c>
      <c r="I49" s="132">
        <f t="shared" si="52"/>
        <v>200</v>
      </c>
      <c r="J49" s="132">
        <f t="shared" si="52"/>
        <v>200</v>
      </c>
      <c r="K49" s="132">
        <f t="shared" si="52"/>
        <v>200</v>
      </c>
      <c r="L49" s="132">
        <f t="shared" si="53"/>
        <v>600</v>
      </c>
      <c r="M49" s="132">
        <f t="shared" si="54"/>
        <v>200</v>
      </c>
      <c r="N49" s="132">
        <f t="shared" si="54"/>
        <v>200</v>
      </c>
      <c r="O49" s="132">
        <f t="shared" si="54"/>
        <v>200</v>
      </c>
      <c r="P49" s="132">
        <f t="shared" si="55"/>
        <v>600</v>
      </c>
      <c r="Q49" s="132">
        <f t="shared" si="56"/>
        <v>200</v>
      </c>
      <c r="R49" s="132">
        <f t="shared" si="56"/>
        <v>200</v>
      </c>
      <c r="S49" s="132">
        <f t="shared" si="56"/>
        <v>200</v>
      </c>
      <c r="T49" s="133">
        <f t="shared" si="57"/>
        <v>600</v>
      </c>
      <c r="U49" s="217">
        <f t="shared" si="58"/>
        <v>2400</v>
      </c>
      <c r="V49" s="218">
        <f t="shared" si="59"/>
        <v>690</v>
      </c>
      <c r="W49" s="218">
        <f t="shared" si="59"/>
        <v>690</v>
      </c>
      <c r="X49" s="218">
        <f t="shared" si="59"/>
        <v>690</v>
      </c>
      <c r="Y49" s="218">
        <f t="shared" si="59"/>
        <v>690</v>
      </c>
      <c r="Z49" s="218">
        <f t="shared" si="60"/>
        <v>2760</v>
      </c>
      <c r="AA49" s="218">
        <f t="shared" si="61"/>
        <v>793.49999999999989</v>
      </c>
      <c r="AB49" s="218">
        <f t="shared" si="61"/>
        <v>793.49999999999989</v>
      </c>
      <c r="AC49" s="218">
        <f t="shared" si="61"/>
        <v>793.49999999999989</v>
      </c>
      <c r="AD49" s="218">
        <f t="shared" si="61"/>
        <v>793.49999999999989</v>
      </c>
      <c r="AE49" s="218">
        <f t="shared" si="62"/>
        <v>3173.9999999999995</v>
      </c>
      <c r="AF49" s="218">
        <f t="shared" si="63"/>
        <v>912.52499999999975</v>
      </c>
      <c r="AG49" s="218">
        <f t="shared" si="63"/>
        <v>912.52499999999975</v>
      </c>
      <c r="AH49" s="218">
        <f t="shared" si="63"/>
        <v>912.52499999999975</v>
      </c>
      <c r="AI49" s="218">
        <f t="shared" si="63"/>
        <v>912.52499999999975</v>
      </c>
      <c r="AJ49" s="218">
        <f t="shared" si="64"/>
        <v>3650.099999999999</v>
      </c>
      <c r="AK49" s="218">
        <f t="shared" si="65"/>
        <v>1049.4037499999997</v>
      </c>
      <c r="AL49" s="218">
        <f t="shared" si="65"/>
        <v>1049.4037499999997</v>
      </c>
      <c r="AM49" s="218">
        <f t="shared" si="65"/>
        <v>1049.4037499999997</v>
      </c>
      <c r="AN49" s="218">
        <f t="shared" si="65"/>
        <v>1049.4037499999997</v>
      </c>
      <c r="AO49" s="219">
        <f t="shared" si="66"/>
        <v>4197.6149999999989</v>
      </c>
      <c r="AP49" s="218">
        <f t="shared" si="67"/>
        <v>1206.8143124999997</v>
      </c>
      <c r="AQ49" s="218">
        <f t="shared" si="67"/>
        <v>1206.8143124999997</v>
      </c>
      <c r="AR49" s="218">
        <f t="shared" si="67"/>
        <v>1206.8143124999997</v>
      </c>
      <c r="AS49" s="218">
        <f t="shared" si="67"/>
        <v>1206.8143124999997</v>
      </c>
      <c r="AT49" s="219">
        <f t="shared" si="12"/>
        <v>4827.2572499999987</v>
      </c>
    </row>
    <row r="50" spans="2:46" hidden="1">
      <c r="B50" s="171" t="s">
        <v>116</v>
      </c>
      <c r="C50" s="172">
        <f>'Cost Assumptions'!D55*'CostRev comparison'!$D$5</f>
        <v>100</v>
      </c>
      <c r="D50" s="173"/>
      <c r="E50" s="161">
        <f t="shared" si="50"/>
        <v>100</v>
      </c>
      <c r="F50" s="132">
        <f t="shared" si="50"/>
        <v>100</v>
      </c>
      <c r="G50" s="132">
        <f t="shared" si="50"/>
        <v>100</v>
      </c>
      <c r="H50" s="132">
        <f t="shared" si="51"/>
        <v>300</v>
      </c>
      <c r="I50" s="132">
        <f t="shared" si="52"/>
        <v>100</v>
      </c>
      <c r="J50" s="132">
        <f t="shared" si="52"/>
        <v>100</v>
      </c>
      <c r="K50" s="132">
        <f t="shared" si="52"/>
        <v>100</v>
      </c>
      <c r="L50" s="132">
        <f t="shared" si="53"/>
        <v>300</v>
      </c>
      <c r="M50" s="132">
        <f t="shared" si="54"/>
        <v>100</v>
      </c>
      <c r="N50" s="132">
        <f t="shared" si="54"/>
        <v>100</v>
      </c>
      <c r="O50" s="132">
        <f t="shared" si="54"/>
        <v>100</v>
      </c>
      <c r="P50" s="132">
        <f t="shared" si="55"/>
        <v>300</v>
      </c>
      <c r="Q50" s="132">
        <f t="shared" si="56"/>
        <v>100</v>
      </c>
      <c r="R50" s="132">
        <f t="shared" si="56"/>
        <v>100</v>
      </c>
      <c r="S50" s="132">
        <f t="shared" si="56"/>
        <v>100</v>
      </c>
      <c r="T50" s="133">
        <f t="shared" si="57"/>
        <v>300</v>
      </c>
      <c r="U50" s="217">
        <f t="shared" si="58"/>
        <v>1200</v>
      </c>
      <c r="V50" s="218">
        <f t="shared" si="59"/>
        <v>345</v>
      </c>
      <c r="W50" s="218">
        <f t="shared" si="59"/>
        <v>345</v>
      </c>
      <c r="X50" s="218">
        <f t="shared" si="59"/>
        <v>345</v>
      </c>
      <c r="Y50" s="218">
        <f t="shared" si="59"/>
        <v>345</v>
      </c>
      <c r="Z50" s="218">
        <f t="shared" si="60"/>
        <v>1380</v>
      </c>
      <c r="AA50" s="218">
        <f t="shared" si="61"/>
        <v>396.74999999999994</v>
      </c>
      <c r="AB50" s="218">
        <f t="shared" si="61"/>
        <v>396.74999999999994</v>
      </c>
      <c r="AC50" s="218">
        <f t="shared" si="61"/>
        <v>396.74999999999994</v>
      </c>
      <c r="AD50" s="218">
        <f t="shared" si="61"/>
        <v>396.74999999999994</v>
      </c>
      <c r="AE50" s="218">
        <f t="shared" si="62"/>
        <v>1586.9999999999998</v>
      </c>
      <c r="AF50" s="218">
        <f t="shared" si="63"/>
        <v>456.26249999999987</v>
      </c>
      <c r="AG50" s="218">
        <f t="shared" si="63"/>
        <v>456.26249999999987</v>
      </c>
      <c r="AH50" s="218">
        <f t="shared" si="63"/>
        <v>456.26249999999987</v>
      </c>
      <c r="AI50" s="218">
        <f t="shared" si="63"/>
        <v>456.26249999999987</v>
      </c>
      <c r="AJ50" s="218">
        <f t="shared" si="64"/>
        <v>1825.0499999999995</v>
      </c>
      <c r="AK50" s="218">
        <f t="shared" si="65"/>
        <v>524.70187499999986</v>
      </c>
      <c r="AL50" s="218">
        <f t="shared" si="65"/>
        <v>524.70187499999986</v>
      </c>
      <c r="AM50" s="218">
        <f t="shared" si="65"/>
        <v>524.70187499999986</v>
      </c>
      <c r="AN50" s="218">
        <f t="shared" si="65"/>
        <v>524.70187499999986</v>
      </c>
      <c r="AO50" s="219">
        <f t="shared" si="66"/>
        <v>2098.8074999999994</v>
      </c>
      <c r="AP50" s="218">
        <f t="shared" si="67"/>
        <v>603.40715624999984</v>
      </c>
      <c r="AQ50" s="218">
        <f t="shared" si="67"/>
        <v>603.40715624999984</v>
      </c>
      <c r="AR50" s="218">
        <f t="shared" si="67"/>
        <v>603.40715624999984</v>
      </c>
      <c r="AS50" s="218">
        <f t="shared" si="67"/>
        <v>603.40715624999984</v>
      </c>
      <c r="AT50" s="219">
        <f t="shared" si="12"/>
        <v>2413.6286249999994</v>
      </c>
    </row>
    <row r="51" spans="2:46" hidden="1">
      <c r="B51" s="171" t="s">
        <v>118</v>
      </c>
      <c r="C51" s="172">
        <f>'Cost Assumptions'!D56*'CostRev comparison'!$D$5</f>
        <v>250</v>
      </c>
      <c r="D51" s="173"/>
      <c r="E51" s="161">
        <f t="shared" si="50"/>
        <v>250</v>
      </c>
      <c r="F51" s="132">
        <f t="shared" si="50"/>
        <v>250</v>
      </c>
      <c r="G51" s="132">
        <f t="shared" si="50"/>
        <v>250</v>
      </c>
      <c r="H51" s="132">
        <f t="shared" si="51"/>
        <v>750</v>
      </c>
      <c r="I51" s="132">
        <f t="shared" si="52"/>
        <v>250</v>
      </c>
      <c r="J51" s="132">
        <f t="shared" si="52"/>
        <v>250</v>
      </c>
      <c r="K51" s="132">
        <f t="shared" si="52"/>
        <v>250</v>
      </c>
      <c r="L51" s="132">
        <f t="shared" si="53"/>
        <v>750</v>
      </c>
      <c r="M51" s="132">
        <f t="shared" si="54"/>
        <v>250</v>
      </c>
      <c r="N51" s="132">
        <f t="shared" si="54"/>
        <v>250</v>
      </c>
      <c r="O51" s="132">
        <f t="shared" si="54"/>
        <v>250</v>
      </c>
      <c r="P51" s="132">
        <f t="shared" si="55"/>
        <v>750</v>
      </c>
      <c r="Q51" s="132">
        <f t="shared" si="56"/>
        <v>250</v>
      </c>
      <c r="R51" s="132">
        <f t="shared" si="56"/>
        <v>250</v>
      </c>
      <c r="S51" s="132">
        <f t="shared" si="56"/>
        <v>250</v>
      </c>
      <c r="T51" s="133">
        <f t="shared" si="57"/>
        <v>750</v>
      </c>
      <c r="U51" s="217">
        <f t="shared" si="58"/>
        <v>3000</v>
      </c>
      <c r="V51" s="218">
        <f t="shared" si="59"/>
        <v>862.49999999999989</v>
      </c>
      <c r="W51" s="218">
        <f t="shared" si="59"/>
        <v>862.49999999999989</v>
      </c>
      <c r="X51" s="218">
        <f t="shared" si="59"/>
        <v>862.49999999999989</v>
      </c>
      <c r="Y51" s="218">
        <f t="shared" si="59"/>
        <v>862.49999999999989</v>
      </c>
      <c r="Z51" s="218">
        <f t="shared" si="60"/>
        <v>3449.9999999999995</v>
      </c>
      <c r="AA51" s="218">
        <f t="shared" si="61"/>
        <v>991.87499999999989</v>
      </c>
      <c r="AB51" s="218">
        <f t="shared" si="61"/>
        <v>991.87499999999989</v>
      </c>
      <c r="AC51" s="218">
        <f t="shared" si="61"/>
        <v>991.87499999999989</v>
      </c>
      <c r="AD51" s="218">
        <f t="shared" si="61"/>
        <v>991.87499999999989</v>
      </c>
      <c r="AE51" s="218">
        <f t="shared" si="62"/>
        <v>3967.4999999999995</v>
      </c>
      <c r="AF51" s="218">
        <f t="shared" si="63"/>
        <v>1140.6562499999995</v>
      </c>
      <c r="AG51" s="218">
        <f t="shared" si="63"/>
        <v>1140.6562499999995</v>
      </c>
      <c r="AH51" s="218">
        <f t="shared" si="63"/>
        <v>1140.6562499999995</v>
      </c>
      <c r="AI51" s="218">
        <f t="shared" si="63"/>
        <v>1140.6562499999995</v>
      </c>
      <c r="AJ51" s="218">
        <f t="shared" si="64"/>
        <v>4562.6249999999982</v>
      </c>
      <c r="AK51" s="218">
        <f t="shared" si="65"/>
        <v>1311.7546874999996</v>
      </c>
      <c r="AL51" s="218">
        <f t="shared" si="65"/>
        <v>1311.7546874999996</v>
      </c>
      <c r="AM51" s="218">
        <f t="shared" si="65"/>
        <v>1311.7546874999996</v>
      </c>
      <c r="AN51" s="218">
        <f t="shared" si="65"/>
        <v>1311.7546874999996</v>
      </c>
      <c r="AO51" s="219">
        <f t="shared" si="66"/>
        <v>5247.0187499999984</v>
      </c>
      <c r="AP51" s="218">
        <f t="shared" si="67"/>
        <v>1508.5178906249996</v>
      </c>
      <c r="AQ51" s="218">
        <f t="shared" si="67"/>
        <v>1508.5178906249996</v>
      </c>
      <c r="AR51" s="218">
        <f t="shared" si="67"/>
        <v>1508.5178906249996</v>
      </c>
      <c r="AS51" s="218">
        <f t="shared" si="67"/>
        <v>1508.5178906249996</v>
      </c>
      <c r="AT51" s="219">
        <f t="shared" si="12"/>
        <v>6034.0715624999984</v>
      </c>
    </row>
    <row r="52" spans="2:46" hidden="1">
      <c r="B52" s="171" t="s">
        <v>120</v>
      </c>
      <c r="C52" s="172">
        <f>'Cost Assumptions'!D57*'CostRev comparison'!$D$5</f>
        <v>0</v>
      </c>
      <c r="D52" s="173"/>
      <c r="E52" s="161">
        <f t="shared" si="50"/>
        <v>0</v>
      </c>
      <c r="F52" s="132">
        <f t="shared" si="50"/>
        <v>0</v>
      </c>
      <c r="G52" s="132">
        <f t="shared" si="50"/>
        <v>0</v>
      </c>
      <c r="H52" s="132">
        <f t="shared" si="51"/>
        <v>0</v>
      </c>
      <c r="I52" s="132">
        <f t="shared" si="52"/>
        <v>0</v>
      </c>
      <c r="J52" s="132">
        <f t="shared" si="52"/>
        <v>0</v>
      </c>
      <c r="K52" s="132">
        <f t="shared" si="52"/>
        <v>0</v>
      </c>
      <c r="L52" s="132">
        <f t="shared" si="53"/>
        <v>0</v>
      </c>
      <c r="M52" s="132">
        <f t="shared" si="54"/>
        <v>0</v>
      </c>
      <c r="N52" s="132">
        <f t="shared" si="54"/>
        <v>0</v>
      </c>
      <c r="O52" s="132">
        <f t="shared" si="54"/>
        <v>0</v>
      </c>
      <c r="P52" s="132">
        <f t="shared" si="55"/>
        <v>0</v>
      </c>
      <c r="Q52" s="132">
        <f t="shared" si="56"/>
        <v>0</v>
      </c>
      <c r="R52" s="132">
        <f t="shared" si="56"/>
        <v>0</v>
      </c>
      <c r="S52" s="132">
        <f t="shared" si="56"/>
        <v>0</v>
      </c>
      <c r="T52" s="133">
        <f t="shared" si="57"/>
        <v>0</v>
      </c>
      <c r="U52" s="217">
        <f t="shared" si="58"/>
        <v>0</v>
      </c>
      <c r="V52" s="218">
        <f t="shared" si="59"/>
        <v>0</v>
      </c>
      <c r="W52" s="218">
        <f t="shared" si="59"/>
        <v>0</v>
      </c>
      <c r="X52" s="218">
        <f t="shared" si="59"/>
        <v>0</v>
      </c>
      <c r="Y52" s="218">
        <f t="shared" si="59"/>
        <v>0</v>
      </c>
      <c r="Z52" s="218">
        <f t="shared" si="60"/>
        <v>0</v>
      </c>
      <c r="AA52" s="218">
        <f t="shared" si="61"/>
        <v>0</v>
      </c>
      <c r="AB52" s="218">
        <f t="shared" si="61"/>
        <v>0</v>
      </c>
      <c r="AC52" s="218">
        <f t="shared" si="61"/>
        <v>0</v>
      </c>
      <c r="AD52" s="218">
        <f t="shared" si="61"/>
        <v>0</v>
      </c>
      <c r="AE52" s="218">
        <f t="shared" si="62"/>
        <v>0</v>
      </c>
      <c r="AF52" s="218">
        <f t="shared" si="63"/>
        <v>0</v>
      </c>
      <c r="AG52" s="218">
        <f t="shared" si="63"/>
        <v>0</v>
      </c>
      <c r="AH52" s="218">
        <f t="shared" si="63"/>
        <v>0</v>
      </c>
      <c r="AI52" s="218">
        <f t="shared" si="63"/>
        <v>0</v>
      </c>
      <c r="AJ52" s="218">
        <f t="shared" si="64"/>
        <v>0</v>
      </c>
      <c r="AK52" s="218">
        <f t="shared" si="65"/>
        <v>0</v>
      </c>
      <c r="AL52" s="218">
        <f t="shared" si="65"/>
        <v>0</v>
      </c>
      <c r="AM52" s="218">
        <f t="shared" si="65"/>
        <v>0</v>
      </c>
      <c r="AN52" s="218">
        <f t="shared" si="65"/>
        <v>0</v>
      </c>
      <c r="AO52" s="219">
        <f t="shared" si="66"/>
        <v>0</v>
      </c>
      <c r="AP52" s="218">
        <f t="shared" si="67"/>
        <v>0</v>
      </c>
      <c r="AQ52" s="218">
        <f t="shared" si="67"/>
        <v>0</v>
      </c>
      <c r="AR52" s="218">
        <f t="shared" si="67"/>
        <v>0</v>
      </c>
      <c r="AS52" s="218">
        <f t="shared" si="67"/>
        <v>0</v>
      </c>
      <c r="AT52" s="219">
        <f t="shared" si="12"/>
        <v>0</v>
      </c>
    </row>
    <row r="53" spans="2:46" hidden="1">
      <c r="B53" s="171" t="s">
        <v>122</v>
      </c>
      <c r="C53" s="172">
        <f>'Cost Assumptions'!D58*'CostRev comparison'!$D$5</f>
        <v>1000</v>
      </c>
      <c r="D53" s="173"/>
      <c r="E53" s="161">
        <f t="shared" si="50"/>
        <v>1000</v>
      </c>
      <c r="F53" s="132">
        <f t="shared" si="50"/>
        <v>1000</v>
      </c>
      <c r="G53" s="132">
        <f t="shared" si="50"/>
        <v>1000</v>
      </c>
      <c r="H53" s="132">
        <f t="shared" si="51"/>
        <v>3000</v>
      </c>
      <c r="I53" s="132">
        <f t="shared" si="52"/>
        <v>1000</v>
      </c>
      <c r="J53" s="132">
        <f t="shared" si="52"/>
        <v>1000</v>
      </c>
      <c r="K53" s="132">
        <f t="shared" si="52"/>
        <v>1000</v>
      </c>
      <c r="L53" s="132">
        <f t="shared" si="53"/>
        <v>3000</v>
      </c>
      <c r="M53" s="132">
        <f t="shared" si="54"/>
        <v>1000</v>
      </c>
      <c r="N53" s="132">
        <f t="shared" si="54"/>
        <v>1000</v>
      </c>
      <c r="O53" s="132">
        <f t="shared" si="54"/>
        <v>1000</v>
      </c>
      <c r="P53" s="132">
        <f t="shared" si="55"/>
        <v>3000</v>
      </c>
      <c r="Q53" s="132">
        <f t="shared" si="56"/>
        <v>1000</v>
      </c>
      <c r="R53" s="132">
        <f t="shared" si="56"/>
        <v>1000</v>
      </c>
      <c r="S53" s="132">
        <f t="shared" si="56"/>
        <v>1000</v>
      </c>
      <c r="T53" s="133">
        <f t="shared" si="57"/>
        <v>3000</v>
      </c>
      <c r="U53" s="217">
        <f t="shared" si="58"/>
        <v>12000</v>
      </c>
      <c r="V53" s="218">
        <f t="shared" si="59"/>
        <v>3449.9999999999995</v>
      </c>
      <c r="W53" s="218">
        <f t="shared" si="59"/>
        <v>3449.9999999999995</v>
      </c>
      <c r="X53" s="218">
        <f t="shared" si="59"/>
        <v>3449.9999999999995</v>
      </c>
      <c r="Y53" s="218">
        <f t="shared" si="59"/>
        <v>3449.9999999999995</v>
      </c>
      <c r="Z53" s="218">
        <f t="shared" si="60"/>
        <v>13799.999999999998</v>
      </c>
      <c r="AA53" s="218">
        <f t="shared" si="61"/>
        <v>3967.4999999999995</v>
      </c>
      <c r="AB53" s="218">
        <f t="shared" si="61"/>
        <v>3967.4999999999995</v>
      </c>
      <c r="AC53" s="218">
        <f t="shared" si="61"/>
        <v>3967.4999999999995</v>
      </c>
      <c r="AD53" s="218">
        <f t="shared" si="61"/>
        <v>3967.4999999999995</v>
      </c>
      <c r="AE53" s="218">
        <f t="shared" si="62"/>
        <v>15869.999999999998</v>
      </c>
      <c r="AF53" s="218">
        <f t="shared" si="63"/>
        <v>4562.6249999999982</v>
      </c>
      <c r="AG53" s="218">
        <f t="shared" si="63"/>
        <v>4562.6249999999982</v>
      </c>
      <c r="AH53" s="218">
        <f t="shared" si="63"/>
        <v>4562.6249999999982</v>
      </c>
      <c r="AI53" s="218">
        <f t="shared" si="63"/>
        <v>4562.6249999999982</v>
      </c>
      <c r="AJ53" s="218">
        <f t="shared" si="64"/>
        <v>18250.499999999993</v>
      </c>
      <c r="AK53" s="218">
        <f t="shared" si="65"/>
        <v>5247.0187499999984</v>
      </c>
      <c r="AL53" s="218">
        <f t="shared" si="65"/>
        <v>5247.0187499999984</v>
      </c>
      <c r="AM53" s="218">
        <f t="shared" si="65"/>
        <v>5247.0187499999984</v>
      </c>
      <c r="AN53" s="218">
        <f t="shared" si="65"/>
        <v>5247.0187499999984</v>
      </c>
      <c r="AO53" s="219">
        <f t="shared" si="66"/>
        <v>20988.074999999993</v>
      </c>
      <c r="AP53" s="218">
        <f t="shared" si="67"/>
        <v>6034.0715624999984</v>
      </c>
      <c r="AQ53" s="218">
        <f t="shared" si="67"/>
        <v>6034.0715624999984</v>
      </c>
      <c r="AR53" s="218">
        <f t="shared" si="67"/>
        <v>6034.0715624999984</v>
      </c>
      <c r="AS53" s="218">
        <f t="shared" si="67"/>
        <v>6034.0715624999984</v>
      </c>
      <c r="AT53" s="219">
        <f t="shared" si="12"/>
        <v>24136.286249999994</v>
      </c>
    </row>
    <row r="54" spans="2:46" ht="17" hidden="1" thickBot="1">
      <c r="B54" s="171" t="s">
        <v>197</v>
      </c>
      <c r="C54" s="172">
        <f>'Cost Assumptions'!D59*'CostRev comparison'!$D$5</f>
        <v>337950</v>
      </c>
      <c r="D54" s="173"/>
      <c r="E54" s="161"/>
      <c r="F54" s="132">
        <f>$C54/2-13500</f>
        <v>155475</v>
      </c>
      <c r="G54" s="132"/>
      <c r="H54" s="132">
        <f t="shared" si="51"/>
        <v>155475</v>
      </c>
      <c r="I54" s="132"/>
      <c r="J54" s="132"/>
      <c r="K54" s="132">
        <f>$C54/2-13500</f>
        <v>155475</v>
      </c>
      <c r="L54" s="132">
        <f t="shared" si="53"/>
        <v>155475</v>
      </c>
      <c r="M54" s="132"/>
      <c r="N54" s="132"/>
      <c r="O54" s="132"/>
      <c r="P54" s="132">
        <f t="shared" si="55"/>
        <v>0</v>
      </c>
      <c r="Q54" s="132"/>
      <c r="R54" s="132"/>
      <c r="S54" s="132"/>
      <c r="T54" s="133">
        <f t="shared" si="57"/>
        <v>0</v>
      </c>
      <c r="U54" s="217">
        <f t="shared" si="58"/>
        <v>310950</v>
      </c>
      <c r="V54" s="218">
        <f>$C54/2*(1+$W$5)</f>
        <v>194321.24999999997</v>
      </c>
      <c r="W54" s="218">
        <f>$C54/2*(1+$W$5)</f>
        <v>194321.24999999997</v>
      </c>
      <c r="X54" s="218"/>
      <c r="Y54" s="218"/>
      <c r="Z54" s="218">
        <f t="shared" si="60"/>
        <v>388642.49999999994</v>
      </c>
      <c r="AA54" s="218">
        <f>$C54/2*((1+$W$5)*(1+$AB$5))</f>
        <v>223469.43749999997</v>
      </c>
      <c r="AB54" s="218">
        <f>$C54/2*((1+$W$5)*(1+$AB$5))</f>
        <v>223469.43749999997</v>
      </c>
      <c r="AC54" s="218"/>
      <c r="AD54" s="218"/>
      <c r="AE54" s="218">
        <f t="shared" si="62"/>
        <v>446938.87499999994</v>
      </c>
      <c r="AF54" s="218">
        <f>$C54/2*(((1+$W$5)*(1+$AB$5)*(1+$AG$5)))</f>
        <v>256989.85312499991</v>
      </c>
      <c r="AG54" s="218">
        <f>$C54/2*(((1+$W$5)*(1+$AB$5)*(1+$AG$5)))</f>
        <v>256989.85312499991</v>
      </c>
      <c r="AH54" s="218"/>
      <c r="AI54" s="218"/>
      <c r="AJ54" s="218">
        <f t="shared" si="64"/>
        <v>513979.70624999981</v>
      </c>
      <c r="AK54" s="218">
        <f>$C54/2*((1+$W$5)*(1+$AB$5)*(1+$AG$5)*(1+$AL$5))</f>
        <v>295538.3310937499</v>
      </c>
      <c r="AL54" s="218">
        <f>$C54/2*((1+$W$5)*(1+$AB$5)*(1+$AG$5)*(1+$AL$5))</f>
        <v>295538.3310937499</v>
      </c>
      <c r="AM54" s="218"/>
      <c r="AN54" s="218"/>
      <c r="AO54" s="219">
        <f t="shared" si="66"/>
        <v>591076.66218749981</v>
      </c>
      <c r="AP54" s="218">
        <f>$C54/2*((1+$W$5)*(1+$AB$5)*(1+$AG$5)*(1+$AL$5)*(1+$AQ$5))</f>
        <v>339869.08075781236</v>
      </c>
      <c r="AQ54" s="218">
        <f>$C54/2*((1+$W$5)*(1+$AB$5)*(1+$AG$5)*(1+$AL$5)*(1+$AQ$5))</f>
        <v>339869.08075781236</v>
      </c>
      <c r="AR54" s="218"/>
      <c r="AS54" s="218"/>
      <c r="AT54" s="219">
        <f t="shared" si="12"/>
        <v>679738.16151562473</v>
      </c>
    </row>
    <row r="55" spans="2:46" hidden="1">
      <c r="B55" s="174" t="s">
        <v>135</v>
      </c>
      <c r="C55" s="172"/>
      <c r="D55" s="173"/>
      <c r="E55" s="166"/>
      <c r="F55" s="135"/>
      <c r="G55" s="135"/>
      <c r="H55" s="135">
        <f>SUM(H48:H54)</f>
        <v>165125</v>
      </c>
      <c r="I55" s="135"/>
      <c r="J55" s="135"/>
      <c r="K55" s="135"/>
      <c r="L55" s="135">
        <f t="shared" ref="L55:AO55" si="68">SUM(L48:L54)</f>
        <v>165125</v>
      </c>
      <c r="M55" s="135"/>
      <c r="N55" s="135"/>
      <c r="O55" s="135"/>
      <c r="P55" s="135">
        <f t="shared" si="68"/>
        <v>9650</v>
      </c>
      <c r="Q55" s="135"/>
      <c r="R55" s="135"/>
      <c r="S55" s="135"/>
      <c r="T55" s="136">
        <f t="shared" si="68"/>
        <v>9650</v>
      </c>
      <c r="U55" s="217">
        <f>SUM(U48:U54)</f>
        <v>349550</v>
      </c>
      <c r="V55" s="218">
        <f t="shared" si="68"/>
        <v>205418.74999999997</v>
      </c>
      <c r="W55" s="218">
        <f t="shared" si="68"/>
        <v>205418.74999999997</v>
      </c>
      <c r="X55" s="218">
        <f t="shared" si="68"/>
        <v>11097.5</v>
      </c>
      <c r="Y55" s="218">
        <f t="shared" si="68"/>
        <v>11097.5</v>
      </c>
      <c r="Z55" s="218">
        <f t="shared" si="68"/>
        <v>433032.49999999994</v>
      </c>
      <c r="AA55" s="218">
        <f t="shared" si="68"/>
        <v>236231.56249999997</v>
      </c>
      <c r="AB55" s="218">
        <f t="shared" si="68"/>
        <v>236231.56249999997</v>
      </c>
      <c r="AC55" s="218">
        <f t="shared" si="68"/>
        <v>12762.124999999998</v>
      </c>
      <c r="AD55" s="218">
        <f t="shared" si="68"/>
        <v>12762.124999999998</v>
      </c>
      <c r="AE55" s="218">
        <f t="shared" si="68"/>
        <v>497987.37499999994</v>
      </c>
      <c r="AF55" s="218">
        <f t="shared" si="68"/>
        <v>271666.29687499988</v>
      </c>
      <c r="AG55" s="218">
        <f t="shared" si="68"/>
        <v>271666.29687499988</v>
      </c>
      <c r="AH55" s="218">
        <f t="shared" si="68"/>
        <v>14676.443749999997</v>
      </c>
      <c r="AI55" s="218">
        <f t="shared" si="68"/>
        <v>14676.443749999997</v>
      </c>
      <c r="AJ55" s="218">
        <f t="shared" si="68"/>
        <v>572685.48124999984</v>
      </c>
      <c r="AK55" s="218">
        <f t="shared" si="68"/>
        <v>312416.24140624987</v>
      </c>
      <c r="AL55" s="218">
        <f t="shared" si="68"/>
        <v>312416.24140624987</v>
      </c>
      <c r="AM55" s="218">
        <f t="shared" si="68"/>
        <v>16877.910312499993</v>
      </c>
      <c r="AN55" s="218">
        <f t="shared" si="68"/>
        <v>16877.910312499993</v>
      </c>
      <c r="AO55" s="219">
        <f t="shared" si="68"/>
        <v>658588.3034374998</v>
      </c>
      <c r="AP55" s="218">
        <f t="shared" ref="AP55:AQ55" si="69">SUM(AP48:AP54)</f>
        <v>359278.67761718738</v>
      </c>
      <c r="AQ55" s="218">
        <f t="shared" si="69"/>
        <v>359278.67761718738</v>
      </c>
      <c r="AR55" s="218">
        <f t="shared" ref="AR55:AS55" si="70">SUM(AR48:AR54)</f>
        <v>19409.596859374993</v>
      </c>
      <c r="AS55" s="218">
        <f t="shared" si="70"/>
        <v>19409.596859374993</v>
      </c>
      <c r="AT55" s="219">
        <f>SUM(AT48:AT54)</f>
        <v>757376.54895312467</v>
      </c>
    </row>
    <row r="56" spans="2:46" hidden="1">
      <c r="B56" s="174" t="s">
        <v>136</v>
      </c>
      <c r="C56" s="172"/>
      <c r="D56" s="173"/>
      <c r="E56" s="16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3"/>
      <c r="U56" s="217"/>
      <c r="V56" s="218"/>
      <c r="W56" s="218"/>
      <c r="X56" s="218"/>
      <c r="Y56" s="218"/>
      <c r="Z56" s="218"/>
      <c r="AA56" s="218"/>
      <c r="AB56" s="218"/>
      <c r="AC56" s="218"/>
      <c r="AD56" s="218"/>
      <c r="AE56" s="218"/>
      <c r="AF56" s="218"/>
      <c r="AG56" s="218"/>
      <c r="AH56" s="218"/>
      <c r="AI56" s="218"/>
      <c r="AJ56" s="218"/>
      <c r="AK56" s="218"/>
      <c r="AL56" s="218"/>
      <c r="AM56" s="218"/>
      <c r="AN56" s="218"/>
      <c r="AO56" s="219"/>
      <c r="AP56" s="218"/>
      <c r="AQ56" s="218"/>
      <c r="AR56" s="218"/>
      <c r="AS56" s="218"/>
      <c r="AT56" s="219">
        <f t="shared" si="12"/>
        <v>0</v>
      </c>
    </row>
    <row r="57" spans="2:46" hidden="1">
      <c r="B57" s="171" t="s">
        <v>137</v>
      </c>
      <c r="C57" s="172">
        <f>'Cost Assumptions'!D62*'CostRev comparison'!$D$5</f>
        <v>4000</v>
      </c>
      <c r="D57" s="173"/>
      <c r="E57" s="161">
        <f>$C57-$C57+800</f>
        <v>800</v>
      </c>
      <c r="F57" s="161">
        <f>$C57-$C57+800</f>
        <v>800</v>
      </c>
      <c r="G57" s="161">
        <f>$C57-$C57+800</f>
        <v>800</v>
      </c>
      <c r="H57" s="132">
        <f>SUM(E57:G57)</f>
        <v>2400</v>
      </c>
      <c r="I57" s="161">
        <f>$C57-$C57+1600</f>
        <v>1600</v>
      </c>
      <c r="J57" s="131">
        <f>$C57-800</f>
        <v>3200</v>
      </c>
      <c r="K57" s="131">
        <f>$C57-800</f>
        <v>3200</v>
      </c>
      <c r="L57" s="132">
        <f>SUM(I57:K57)</f>
        <v>8000</v>
      </c>
      <c r="M57" s="132">
        <f t="shared" ref="I57:S59" si="71">$C57</f>
        <v>4000</v>
      </c>
      <c r="N57" s="132">
        <f t="shared" si="71"/>
        <v>4000</v>
      </c>
      <c r="O57" s="132">
        <f t="shared" si="71"/>
        <v>4000</v>
      </c>
      <c r="P57" s="132">
        <f>SUM(M57:O57)</f>
        <v>12000</v>
      </c>
      <c r="Q57" s="132">
        <f t="shared" si="71"/>
        <v>4000</v>
      </c>
      <c r="R57" s="132">
        <f t="shared" si="71"/>
        <v>4000</v>
      </c>
      <c r="S57" s="132">
        <f t="shared" si="71"/>
        <v>4000</v>
      </c>
      <c r="T57" s="133">
        <f>SUM(Q57:S57)</f>
        <v>12000</v>
      </c>
      <c r="U57" s="217">
        <f>SUM(E57:G57)+SUM(I57:K57)+SUM(M57:O57)+SUM(Q57:S57)</f>
        <v>34400</v>
      </c>
      <c r="V57" s="218">
        <f t="shared" ref="V57:Y59" si="72">$C57*3*(1+$W$5)</f>
        <v>13799.999999999998</v>
      </c>
      <c r="W57" s="218">
        <f t="shared" si="72"/>
        <v>13799.999999999998</v>
      </c>
      <c r="X57" s="218">
        <f t="shared" si="72"/>
        <v>13799.999999999998</v>
      </c>
      <c r="Y57" s="218">
        <f t="shared" si="72"/>
        <v>13799.999999999998</v>
      </c>
      <c r="Z57" s="218">
        <f>SUM(V57:Y57)</f>
        <v>55199.999999999993</v>
      </c>
      <c r="AA57" s="218">
        <f t="shared" ref="AA57:AD59" si="73">$C57*3*((1+$W$5)*(1+$AB$5))</f>
        <v>15869.999999999998</v>
      </c>
      <c r="AB57" s="218">
        <f t="shared" si="73"/>
        <v>15869.999999999998</v>
      </c>
      <c r="AC57" s="218">
        <f t="shared" si="73"/>
        <v>15869.999999999998</v>
      </c>
      <c r="AD57" s="218">
        <f t="shared" si="73"/>
        <v>15869.999999999998</v>
      </c>
      <c r="AE57" s="218">
        <f>SUM(AA57:AD57)</f>
        <v>63479.999999999993</v>
      </c>
      <c r="AF57" s="218">
        <f t="shared" ref="AF57:AI59" si="74">$C57*3*(((1+$W$5)*(1+$AB$5)*(1+$AG$5)))</f>
        <v>18250.499999999993</v>
      </c>
      <c r="AG57" s="218">
        <f t="shared" si="74"/>
        <v>18250.499999999993</v>
      </c>
      <c r="AH57" s="218">
        <f t="shared" si="74"/>
        <v>18250.499999999993</v>
      </c>
      <c r="AI57" s="218">
        <f t="shared" si="74"/>
        <v>18250.499999999993</v>
      </c>
      <c r="AJ57" s="218">
        <f>SUM(AF57:AI57)</f>
        <v>73001.999999999971</v>
      </c>
      <c r="AK57" s="218">
        <f t="shared" ref="AK57:AP59" si="75">$C57*3*((1+$W$5)*(1+$AB$5)*(1+$AG$5)*(1+$AL$5))</f>
        <v>20988.074999999993</v>
      </c>
      <c r="AL57" s="218">
        <f t="shared" si="75"/>
        <v>20988.074999999993</v>
      </c>
      <c r="AM57" s="218">
        <f t="shared" si="75"/>
        <v>20988.074999999993</v>
      </c>
      <c r="AN57" s="218">
        <f t="shared" si="75"/>
        <v>20988.074999999993</v>
      </c>
      <c r="AO57" s="219">
        <f>SUM(AK57:AN57)</f>
        <v>83952.299999999974</v>
      </c>
      <c r="AP57" s="218">
        <f t="shared" ref="AP57:AS59" si="76">$C57*3*((1+$W$5)*(1+$AB$5)*(1+$AG$5)*(1+$AL$5)*(1+$AQ$5))</f>
        <v>24136.286249999994</v>
      </c>
      <c r="AQ57" s="218">
        <f t="shared" si="76"/>
        <v>24136.286249999994</v>
      </c>
      <c r="AR57" s="218">
        <f t="shared" si="76"/>
        <v>24136.286249999994</v>
      </c>
      <c r="AS57" s="218">
        <f t="shared" si="76"/>
        <v>24136.286249999994</v>
      </c>
      <c r="AT57" s="219">
        <f t="shared" si="12"/>
        <v>96545.144999999975</v>
      </c>
    </row>
    <row r="58" spans="2:46" hidden="1">
      <c r="B58" s="171" t="s">
        <v>198</v>
      </c>
      <c r="C58" s="172">
        <f>'Cost Assumptions'!D63*'CostRev comparison'!$D$5</f>
        <v>500</v>
      </c>
      <c r="D58" s="173"/>
      <c r="E58" s="161">
        <f>$C58-$C58+100</f>
        <v>100</v>
      </c>
      <c r="F58" s="161">
        <f>$C58-$C58+100</f>
        <v>100</v>
      </c>
      <c r="G58" s="161">
        <f>$C58-$C58+100</f>
        <v>100</v>
      </c>
      <c r="H58" s="132">
        <f>SUM(E58:G58)</f>
        <v>300</v>
      </c>
      <c r="I58" s="161">
        <f>$C58-$C58+200</f>
        <v>200</v>
      </c>
      <c r="J58" s="161">
        <f>$C58-$C58+400</f>
        <v>400</v>
      </c>
      <c r="K58" s="161">
        <f>$C58-$C58+400</f>
        <v>400</v>
      </c>
      <c r="L58" s="132">
        <f>SUM(I58:K58)</f>
        <v>1000</v>
      </c>
      <c r="M58" s="132">
        <f t="shared" si="71"/>
        <v>500</v>
      </c>
      <c r="N58" s="132">
        <f t="shared" si="71"/>
        <v>500</v>
      </c>
      <c r="O58" s="132">
        <f t="shared" si="71"/>
        <v>500</v>
      </c>
      <c r="P58" s="132">
        <f>SUM(M58:O58)</f>
        <v>1500</v>
      </c>
      <c r="Q58" s="132">
        <f t="shared" si="71"/>
        <v>500</v>
      </c>
      <c r="R58" s="132">
        <f t="shared" si="71"/>
        <v>500</v>
      </c>
      <c r="S58" s="132">
        <f t="shared" si="71"/>
        <v>500</v>
      </c>
      <c r="T58" s="133">
        <f>SUM(Q58:S58)</f>
        <v>1500</v>
      </c>
      <c r="U58" s="217">
        <f>SUM(E58:G58)+SUM(I58:K58)+SUM(M58:O58)+SUM(Q58:S58)</f>
        <v>4300</v>
      </c>
      <c r="V58" s="218">
        <f t="shared" si="72"/>
        <v>1724.9999999999998</v>
      </c>
      <c r="W58" s="218">
        <f t="shared" si="72"/>
        <v>1724.9999999999998</v>
      </c>
      <c r="X58" s="218">
        <f t="shared" si="72"/>
        <v>1724.9999999999998</v>
      </c>
      <c r="Y58" s="218">
        <f t="shared" si="72"/>
        <v>1724.9999999999998</v>
      </c>
      <c r="Z58" s="218">
        <f>SUM(V58:Y58)</f>
        <v>6899.9999999999991</v>
      </c>
      <c r="AA58" s="218">
        <f t="shared" si="73"/>
        <v>1983.7499999999998</v>
      </c>
      <c r="AB58" s="218">
        <f t="shared" si="73"/>
        <v>1983.7499999999998</v>
      </c>
      <c r="AC58" s="218">
        <f t="shared" si="73"/>
        <v>1983.7499999999998</v>
      </c>
      <c r="AD58" s="218">
        <f t="shared" si="73"/>
        <v>1983.7499999999998</v>
      </c>
      <c r="AE58" s="218">
        <f>SUM(AA58:AD58)</f>
        <v>7934.9999999999991</v>
      </c>
      <c r="AF58" s="218">
        <f t="shared" si="74"/>
        <v>2281.3124999999991</v>
      </c>
      <c r="AG58" s="218">
        <f t="shared" si="74"/>
        <v>2281.3124999999991</v>
      </c>
      <c r="AH58" s="218">
        <f t="shared" si="74"/>
        <v>2281.3124999999991</v>
      </c>
      <c r="AI58" s="218">
        <f t="shared" si="74"/>
        <v>2281.3124999999991</v>
      </c>
      <c r="AJ58" s="218">
        <f>SUM(AF58:AI58)</f>
        <v>9125.2499999999964</v>
      </c>
      <c r="AK58" s="218">
        <f t="shared" si="75"/>
        <v>2623.5093749999992</v>
      </c>
      <c r="AL58" s="218">
        <f t="shared" si="75"/>
        <v>2623.5093749999992</v>
      </c>
      <c r="AM58" s="218">
        <f t="shared" si="75"/>
        <v>2623.5093749999992</v>
      </c>
      <c r="AN58" s="218">
        <f t="shared" si="75"/>
        <v>2623.5093749999992</v>
      </c>
      <c r="AO58" s="219">
        <f>SUM(AK58:AN58)</f>
        <v>10494.037499999997</v>
      </c>
      <c r="AP58" s="218">
        <f t="shared" si="76"/>
        <v>3017.0357812499992</v>
      </c>
      <c r="AQ58" s="218">
        <f t="shared" si="76"/>
        <v>3017.0357812499992</v>
      </c>
      <c r="AR58" s="218">
        <f t="shared" si="76"/>
        <v>3017.0357812499992</v>
      </c>
      <c r="AS58" s="218">
        <f t="shared" si="76"/>
        <v>3017.0357812499992</v>
      </c>
      <c r="AT58" s="219">
        <f t="shared" si="12"/>
        <v>12068.143124999997</v>
      </c>
    </row>
    <row r="59" spans="2:46" ht="17" hidden="1" thickBot="1">
      <c r="B59" s="171" t="s">
        <v>126</v>
      </c>
      <c r="C59" s="172">
        <f>'Cost Assumptions'!D64*'CostRev comparison'!$D$5</f>
        <v>100</v>
      </c>
      <c r="D59" s="173"/>
      <c r="E59" s="161">
        <f t="shared" ref="E59:G59" si="77">$C59</f>
        <v>100</v>
      </c>
      <c r="F59" s="132">
        <f t="shared" si="77"/>
        <v>100</v>
      </c>
      <c r="G59" s="132">
        <f t="shared" si="77"/>
        <v>100</v>
      </c>
      <c r="H59" s="132">
        <f>SUM(E59:G59)</f>
        <v>300</v>
      </c>
      <c r="I59" s="132">
        <f t="shared" si="71"/>
        <v>100</v>
      </c>
      <c r="J59" s="132">
        <f t="shared" si="71"/>
        <v>100</v>
      </c>
      <c r="K59" s="132">
        <f t="shared" si="71"/>
        <v>100</v>
      </c>
      <c r="L59" s="132">
        <f>SUM(I59:K59)</f>
        <v>300</v>
      </c>
      <c r="M59" s="132">
        <f t="shared" si="71"/>
        <v>100</v>
      </c>
      <c r="N59" s="132">
        <f t="shared" si="71"/>
        <v>100</v>
      </c>
      <c r="O59" s="132">
        <f t="shared" si="71"/>
        <v>100</v>
      </c>
      <c r="P59" s="132">
        <f>SUM(M59:O59)</f>
        <v>300</v>
      </c>
      <c r="Q59" s="132">
        <f t="shared" si="71"/>
        <v>100</v>
      </c>
      <c r="R59" s="132">
        <f t="shared" si="71"/>
        <v>100</v>
      </c>
      <c r="S59" s="132">
        <f t="shared" si="71"/>
        <v>100</v>
      </c>
      <c r="T59" s="133">
        <f>SUM(Q59:S59)</f>
        <v>300</v>
      </c>
      <c r="U59" s="217">
        <f>SUM(E59:G59)+SUM(I59:K59)+SUM(M59:O59)+SUM(Q59:S59)</f>
        <v>1200</v>
      </c>
      <c r="V59" s="218">
        <f t="shared" si="72"/>
        <v>345</v>
      </c>
      <c r="W59" s="218">
        <f t="shared" si="72"/>
        <v>345</v>
      </c>
      <c r="X59" s="218">
        <f t="shared" si="72"/>
        <v>345</v>
      </c>
      <c r="Y59" s="218">
        <f t="shared" si="72"/>
        <v>345</v>
      </c>
      <c r="Z59" s="218">
        <f>SUM(V59:Y59)</f>
        <v>1380</v>
      </c>
      <c r="AA59" s="218">
        <f t="shared" si="73"/>
        <v>396.74999999999994</v>
      </c>
      <c r="AB59" s="218">
        <f t="shared" si="73"/>
        <v>396.74999999999994</v>
      </c>
      <c r="AC59" s="218">
        <f t="shared" si="73"/>
        <v>396.74999999999994</v>
      </c>
      <c r="AD59" s="218">
        <f t="shared" si="73"/>
        <v>396.74999999999994</v>
      </c>
      <c r="AE59" s="218">
        <f>SUM(AA59:AD59)</f>
        <v>1586.9999999999998</v>
      </c>
      <c r="AF59" s="218">
        <f t="shared" si="74"/>
        <v>456.26249999999987</v>
      </c>
      <c r="AG59" s="218">
        <f t="shared" si="74"/>
        <v>456.26249999999987</v>
      </c>
      <c r="AH59" s="218">
        <f t="shared" si="74"/>
        <v>456.26249999999987</v>
      </c>
      <c r="AI59" s="218">
        <f t="shared" si="74"/>
        <v>456.26249999999987</v>
      </c>
      <c r="AJ59" s="218">
        <f>SUM(AF59:AI59)</f>
        <v>1825.0499999999995</v>
      </c>
      <c r="AK59" s="218">
        <f t="shared" si="75"/>
        <v>524.70187499999986</v>
      </c>
      <c r="AL59" s="218">
        <f t="shared" si="75"/>
        <v>524.70187499999986</v>
      </c>
      <c r="AM59" s="218">
        <f t="shared" si="75"/>
        <v>524.70187499999986</v>
      </c>
      <c r="AN59" s="218">
        <f t="shared" si="75"/>
        <v>524.70187499999986</v>
      </c>
      <c r="AO59" s="219">
        <f>SUM(AK59:AN59)</f>
        <v>2098.8074999999994</v>
      </c>
      <c r="AP59" s="218">
        <f t="shared" si="76"/>
        <v>603.40715624999984</v>
      </c>
      <c r="AQ59" s="218">
        <f t="shared" si="76"/>
        <v>603.40715624999984</v>
      </c>
      <c r="AR59" s="218">
        <f t="shared" si="76"/>
        <v>603.40715624999984</v>
      </c>
      <c r="AS59" s="218">
        <f t="shared" si="76"/>
        <v>603.40715624999984</v>
      </c>
      <c r="AT59" s="219">
        <f t="shared" si="12"/>
        <v>2413.6286249999994</v>
      </c>
    </row>
    <row r="60" spans="2:46" hidden="1">
      <c r="B60" s="174" t="s">
        <v>136</v>
      </c>
      <c r="C60" s="172"/>
      <c r="D60" s="173"/>
      <c r="E60" s="166"/>
      <c r="F60" s="135"/>
      <c r="G60" s="135"/>
      <c r="H60" s="135">
        <f>SUM(H57:H59)</f>
        <v>3000</v>
      </c>
      <c r="I60" s="135"/>
      <c r="J60" s="135"/>
      <c r="K60" s="135"/>
      <c r="L60" s="135">
        <f t="shared" ref="L60:AO60" si="78">SUM(L57:L59)</f>
        <v>9300</v>
      </c>
      <c r="M60" s="135"/>
      <c r="N60" s="135"/>
      <c r="O60" s="135"/>
      <c r="P60" s="135">
        <f t="shared" si="78"/>
        <v>13800</v>
      </c>
      <c r="Q60" s="135"/>
      <c r="R60" s="135"/>
      <c r="S60" s="135"/>
      <c r="T60" s="136">
        <f t="shared" si="78"/>
        <v>13800</v>
      </c>
      <c r="U60" s="217">
        <f>SUM(U57:U59)</f>
        <v>39900</v>
      </c>
      <c r="V60" s="218">
        <f t="shared" si="78"/>
        <v>15869.999999999998</v>
      </c>
      <c r="W60" s="218">
        <f t="shared" si="78"/>
        <v>15869.999999999998</v>
      </c>
      <c r="X60" s="218">
        <f t="shared" si="78"/>
        <v>15869.999999999998</v>
      </c>
      <c r="Y60" s="218">
        <f t="shared" si="78"/>
        <v>15869.999999999998</v>
      </c>
      <c r="Z60" s="218">
        <f t="shared" si="78"/>
        <v>63479.999999999993</v>
      </c>
      <c r="AA60" s="218">
        <f t="shared" si="78"/>
        <v>18250.499999999996</v>
      </c>
      <c r="AB60" s="218">
        <f t="shared" si="78"/>
        <v>18250.499999999996</v>
      </c>
      <c r="AC60" s="218">
        <f t="shared" si="78"/>
        <v>18250.499999999996</v>
      </c>
      <c r="AD60" s="218">
        <f t="shared" si="78"/>
        <v>18250.499999999996</v>
      </c>
      <c r="AE60" s="218">
        <f t="shared" si="78"/>
        <v>73001.999999999985</v>
      </c>
      <c r="AF60" s="218">
        <f t="shared" si="78"/>
        <v>20988.074999999993</v>
      </c>
      <c r="AG60" s="218">
        <f t="shared" si="78"/>
        <v>20988.074999999993</v>
      </c>
      <c r="AH60" s="218">
        <f t="shared" si="78"/>
        <v>20988.074999999993</v>
      </c>
      <c r="AI60" s="218">
        <f t="shared" si="78"/>
        <v>20988.074999999993</v>
      </c>
      <c r="AJ60" s="218">
        <f t="shared" si="78"/>
        <v>83952.299999999974</v>
      </c>
      <c r="AK60" s="218">
        <f t="shared" si="78"/>
        <v>24136.28624999999</v>
      </c>
      <c r="AL60" s="218">
        <f t="shared" si="78"/>
        <v>24136.28624999999</v>
      </c>
      <c r="AM60" s="218">
        <f t="shared" si="78"/>
        <v>24136.28624999999</v>
      </c>
      <c r="AN60" s="218">
        <f t="shared" si="78"/>
        <v>24136.28624999999</v>
      </c>
      <c r="AO60" s="219">
        <f t="shared" si="78"/>
        <v>96545.14499999996</v>
      </c>
      <c r="AP60" s="218">
        <f t="shared" ref="AP60:AQ60" si="79">SUM(AP57:AP59)</f>
        <v>27756.729187499994</v>
      </c>
      <c r="AQ60" s="218">
        <f t="shared" si="79"/>
        <v>27756.729187499994</v>
      </c>
      <c r="AR60" s="218">
        <f t="shared" ref="AR60:AS60" si="80">SUM(AR57:AR59)</f>
        <v>27756.729187499994</v>
      </c>
      <c r="AS60" s="218">
        <f t="shared" si="80"/>
        <v>27756.729187499994</v>
      </c>
      <c r="AT60" s="219">
        <f>SUM(AT57:AT59)</f>
        <v>111026.91674999997</v>
      </c>
    </row>
    <row r="61" spans="2:46" hidden="1">
      <c r="B61" s="174" t="s">
        <v>139</v>
      </c>
      <c r="C61" s="172"/>
      <c r="D61" s="173"/>
      <c r="E61" s="161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3"/>
      <c r="U61" s="217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9"/>
      <c r="AP61" s="218"/>
      <c r="AQ61" s="218"/>
      <c r="AR61" s="218"/>
      <c r="AS61" s="218"/>
      <c r="AT61" s="219">
        <f t="shared" si="12"/>
        <v>0</v>
      </c>
    </row>
    <row r="62" spans="2:46" hidden="1">
      <c r="B62" s="171" t="s">
        <v>127</v>
      </c>
      <c r="C62" s="172">
        <f>'Cost Assumptions'!D66*'CostRev comparison'!$D$5</f>
        <v>2000</v>
      </c>
      <c r="D62" s="173"/>
      <c r="E62" s="161">
        <f t="shared" ref="E62:G63" si="81">$C62</f>
        <v>2000</v>
      </c>
      <c r="F62" s="132">
        <f t="shared" si="81"/>
        <v>2000</v>
      </c>
      <c r="G62" s="132">
        <f t="shared" si="81"/>
        <v>2000</v>
      </c>
      <c r="H62" s="132">
        <f>SUM(E62:G62)</f>
        <v>6000</v>
      </c>
      <c r="I62" s="132">
        <f t="shared" ref="I62:K63" si="82">$C62</f>
        <v>2000</v>
      </c>
      <c r="J62" s="132">
        <f t="shared" si="82"/>
        <v>2000</v>
      </c>
      <c r="K62" s="132">
        <f t="shared" si="82"/>
        <v>2000</v>
      </c>
      <c r="L62" s="132">
        <f>SUM(I62:K62)</f>
        <v>6000</v>
      </c>
      <c r="M62" s="132">
        <f t="shared" ref="M62:O63" si="83">$C62</f>
        <v>2000</v>
      </c>
      <c r="N62" s="132">
        <f t="shared" si="83"/>
        <v>2000</v>
      </c>
      <c r="O62" s="132">
        <f t="shared" si="83"/>
        <v>2000</v>
      </c>
      <c r="P62" s="132">
        <f>SUM(M62:O62)</f>
        <v>6000</v>
      </c>
      <c r="Q62" s="132">
        <f t="shared" ref="Q62:S63" si="84">$C62</f>
        <v>2000</v>
      </c>
      <c r="R62" s="132">
        <f t="shared" si="84"/>
        <v>2000</v>
      </c>
      <c r="S62" s="132">
        <f t="shared" si="84"/>
        <v>2000</v>
      </c>
      <c r="T62" s="133">
        <f>SUM(Q62:S62)</f>
        <v>6000</v>
      </c>
      <c r="U62" s="217">
        <f>SUM(E62:G62)+SUM(I62:K62)+SUM(M62:O62)+SUM(Q62:S62)</f>
        <v>24000</v>
      </c>
      <c r="V62" s="218">
        <f t="shared" ref="V62:Y63" si="85">$C62*3*(1+$W$5)</f>
        <v>6899.9999999999991</v>
      </c>
      <c r="W62" s="218">
        <f t="shared" si="85"/>
        <v>6899.9999999999991</v>
      </c>
      <c r="X62" s="218">
        <f t="shared" si="85"/>
        <v>6899.9999999999991</v>
      </c>
      <c r="Y62" s="218">
        <f t="shared" si="85"/>
        <v>6899.9999999999991</v>
      </c>
      <c r="Z62" s="218">
        <f>SUM(V62:Y62)</f>
        <v>27599.999999999996</v>
      </c>
      <c r="AA62" s="218">
        <f t="shared" ref="AA62:AD63" si="86">$C62*3*((1+$W$5)*(1+$AB$5))</f>
        <v>7934.9999999999991</v>
      </c>
      <c r="AB62" s="218">
        <f t="shared" si="86"/>
        <v>7934.9999999999991</v>
      </c>
      <c r="AC62" s="218">
        <f t="shared" si="86"/>
        <v>7934.9999999999991</v>
      </c>
      <c r="AD62" s="218">
        <f t="shared" si="86"/>
        <v>7934.9999999999991</v>
      </c>
      <c r="AE62" s="218">
        <f>SUM(AA62:AD62)</f>
        <v>31739.999999999996</v>
      </c>
      <c r="AF62" s="218">
        <f t="shared" ref="AF62:AI63" si="87">$C62*3*(((1+$W$5)*(1+$AB$5)*(1+$AG$5)))</f>
        <v>9125.2499999999964</v>
      </c>
      <c r="AG62" s="218">
        <f t="shared" si="87"/>
        <v>9125.2499999999964</v>
      </c>
      <c r="AH62" s="218">
        <f t="shared" si="87"/>
        <v>9125.2499999999964</v>
      </c>
      <c r="AI62" s="218">
        <f t="shared" si="87"/>
        <v>9125.2499999999964</v>
      </c>
      <c r="AJ62" s="218">
        <f>SUM(AF62:AI62)</f>
        <v>36500.999999999985</v>
      </c>
      <c r="AK62" s="218">
        <f t="shared" ref="AK62:AP63" si="88">$C62*3*((1+$W$5)*(1+$AB$5)*(1+$AG$5)*(1+$AL$5))</f>
        <v>10494.037499999997</v>
      </c>
      <c r="AL62" s="218">
        <f t="shared" si="88"/>
        <v>10494.037499999997</v>
      </c>
      <c r="AM62" s="218">
        <f t="shared" si="88"/>
        <v>10494.037499999997</v>
      </c>
      <c r="AN62" s="218">
        <f t="shared" si="88"/>
        <v>10494.037499999997</v>
      </c>
      <c r="AO62" s="219">
        <f>SUM(AK62:AN62)</f>
        <v>41976.149999999987</v>
      </c>
      <c r="AP62" s="218">
        <f t="shared" ref="AP62:AS63" si="89">$C62*3*((1+$W$5)*(1+$AB$5)*(1+$AG$5)*(1+$AL$5)*(1+$AQ$5))</f>
        <v>12068.143124999997</v>
      </c>
      <c r="AQ62" s="218">
        <f t="shared" si="89"/>
        <v>12068.143124999997</v>
      </c>
      <c r="AR62" s="218">
        <f t="shared" si="89"/>
        <v>12068.143124999997</v>
      </c>
      <c r="AS62" s="218">
        <f t="shared" si="89"/>
        <v>12068.143124999997</v>
      </c>
      <c r="AT62" s="219">
        <f t="shared" si="12"/>
        <v>48272.572499999987</v>
      </c>
    </row>
    <row r="63" spans="2:46" ht="17" hidden="1" thickBot="1">
      <c r="B63" s="171" t="s">
        <v>129</v>
      </c>
      <c r="C63" s="172">
        <f>'Cost Assumptions'!D67*'CostRev comparison'!$D$5</f>
        <v>2000</v>
      </c>
      <c r="D63" s="173"/>
      <c r="E63" s="167">
        <f t="shared" si="81"/>
        <v>2000</v>
      </c>
      <c r="F63" s="138">
        <f t="shared" si="81"/>
        <v>2000</v>
      </c>
      <c r="G63" s="138">
        <f t="shared" si="81"/>
        <v>2000</v>
      </c>
      <c r="H63" s="132">
        <f>SUM(E63:G63)</f>
        <v>6000</v>
      </c>
      <c r="I63" s="138">
        <f t="shared" si="82"/>
        <v>2000</v>
      </c>
      <c r="J63" s="138">
        <f t="shared" si="82"/>
        <v>2000</v>
      </c>
      <c r="K63" s="138">
        <f t="shared" si="82"/>
        <v>2000</v>
      </c>
      <c r="L63" s="132">
        <f>SUM(I63:K63)</f>
        <v>6000</v>
      </c>
      <c r="M63" s="138">
        <f t="shared" si="83"/>
        <v>2000</v>
      </c>
      <c r="N63" s="138">
        <f t="shared" si="83"/>
        <v>2000</v>
      </c>
      <c r="O63" s="138">
        <f t="shared" si="83"/>
        <v>2000</v>
      </c>
      <c r="P63" s="132">
        <f>SUM(M63:O63)</f>
        <v>6000</v>
      </c>
      <c r="Q63" s="138">
        <f t="shared" si="84"/>
        <v>2000</v>
      </c>
      <c r="R63" s="138">
        <f t="shared" si="84"/>
        <v>2000</v>
      </c>
      <c r="S63" s="138">
        <f t="shared" si="84"/>
        <v>2000</v>
      </c>
      <c r="T63" s="133">
        <f>SUM(Q63:S63)</f>
        <v>6000</v>
      </c>
      <c r="U63" s="217">
        <f>SUM(E63:G63)+SUM(I63:K63)+SUM(M63:O63)+SUM(Q63:S63)</f>
        <v>24000</v>
      </c>
      <c r="V63" s="218">
        <f t="shared" si="85"/>
        <v>6899.9999999999991</v>
      </c>
      <c r="W63" s="218">
        <f t="shared" si="85"/>
        <v>6899.9999999999991</v>
      </c>
      <c r="X63" s="218">
        <f t="shared" si="85"/>
        <v>6899.9999999999991</v>
      </c>
      <c r="Y63" s="218">
        <f t="shared" si="85"/>
        <v>6899.9999999999991</v>
      </c>
      <c r="Z63" s="218">
        <f>SUM(V63:Y63)</f>
        <v>27599.999999999996</v>
      </c>
      <c r="AA63" s="218">
        <f t="shared" si="86"/>
        <v>7934.9999999999991</v>
      </c>
      <c r="AB63" s="218">
        <f t="shared" si="86"/>
        <v>7934.9999999999991</v>
      </c>
      <c r="AC63" s="218">
        <f t="shared" si="86"/>
        <v>7934.9999999999991</v>
      </c>
      <c r="AD63" s="218">
        <f t="shared" si="86"/>
        <v>7934.9999999999991</v>
      </c>
      <c r="AE63" s="218">
        <f>SUM(AA63:AD63)</f>
        <v>31739.999999999996</v>
      </c>
      <c r="AF63" s="218">
        <f t="shared" si="87"/>
        <v>9125.2499999999964</v>
      </c>
      <c r="AG63" s="218">
        <f t="shared" si="87"/>
        <v>9125.2499999999964</v>
      </c>
      <c r="AH63" s="218">
        <f t="shared" si="87"/>
        <v>9125.2499999999964</v>
      </c>
      <c r="AI63" s="218">
        <f t="shared" si="87"/>
        <v>9125.2499999999964</v>
      </c>
      <c r="AJ63" s="218">
        <f>SUM(AF63:AI63)</f>
        <v>36500.999999999985</v>
      </c>
      <c r="AK63" s="218">
        <f t="shared" si="88"/>
        <v>10494.037499999997</v>
      </c>
      <c r="AL63" s="218">
        <f t="shared" si="88"/>
        <v>10494.037499999997</v>
      </c>
      <c r="AM63" s="218">
        <f t="shared" si="88"/>
        <v>10494.037499999997</v>
      </c>
      <c r="AN63" s="218">
        <f t="shared" si="88"/>
        <v>10494.037499999997</v>
      </c>
      <c r="AO63" s="219">
        <f>SUM(AK63:AN63)</f>
        <v>41976.149999999987</v>
      </c>
      <c r="AP63" s="218">
        <f t="shared" si="89"/>
        <v>12068.143124999997</v>
      </c>
      <c r="AQ63" s="218">
        <f t="shared" si="89"/>
        <v>12068.143124999997</v>
      </c>
      <c r="AR63" s="218">
        <f t="shared" si="89"/>
        <v>12068.143124999997</v>
      </c>
      <c r="AS63" s="218">
        <f t="shared" si="89"/>
        <v>12068.143124999997</v>
      </c>
      <c r="AT63" s="219">
        <f t="shared" si="12"/>
        <v>48272.572499999987</v>
      </c>
    </row>
    <row r="64" spans="2:46" ht="17" hidden="1" thickBot="1">
      <c r="B64" s="174" t="s">
        <v>139</v>
      </c>
      <c r="C64" s="172"/>
      <c r="D64" s="173"/>
      <c r="E64" s="166"/>
      <c r="F64" s="135"/>
      <c r="G64" s="135"/>
      <c r="H64" s="135">
        <f>SUM(H62:H63)</f>
        <v>12000</v>
      </c>
      <c r="I64" s="134"/>
      <c r="J64" s="135"/>
      <c r="K64" s="135"/>
      <c r="L64" s="135">
        <f t="shared" ref="L64:AO64" si="90">SUM(L62:L63)</f>
        <v>12000</v>
      </c>
      <c r="M64" s="134"/>
      <c r="N64" s="135"/>
      <c r="O64" s="135"/>
      <c r="P64" s="135">
        <f t="shared" si="90"/>
        <v>12000</v>
      </c>
      <c r="Q64" s="134"/>
      <c r="R64" s="135"/>
      <c r="S64" s="135"/>
      <c r="T64" s="139">
        <f t="shared" si="90"/>
        <v>12000</v>
      </c>
      <c r="U64" s="220">
        <f>SUM(U62:U63)</f>
        <v>48000</v>
      </c>
      <c r="V64" s="221">
        <f t="shared" si="90"/>
        <v>13799.999999999998</v>
      </c>
      <c r="W64" s="221">
        <f t="shared" si="90"/>
        <v>13799.999999999998</v>
      </c>
      <c r="X64" s="221">
        <f t="shared" si="90"/>
        <v>13799.999999999998</v>
      </c>
      <c r="Y64" s="221">
        <f t="shared" si="90"/>
        <v>13799.999999999998</v>
      </c>
      <c r="Z64" s="221">
        <f t="shared" si="90"/>
        <v>55199.999999999993</v>
      </c>
      <c r="AA64" s="221">
        <f t="shared" si="90"/>
        <v>15869.999999999998</v>
      </c>
      <c r="AB64" s="221">
        <f t="shared" si="90"/>
        <v>15869.999999999998</v>
      </c>
      <c r="AC64" s="221">
        <f t="shared" si="90"/>
        <v>15869.999999999998</v>
      </c>
      <c r="AD64" s="221">
        <f t="shared" si="90"/>
        <v>15869.999999999998</v>
      </c>
      <c r="AE64" s="221">
        <f t="shared" si="90"/>
        <v>63479.999999999993</v>
      </c>
      <c r="AF64" s="221">
        <f t="shared" si="90"/>
        <v>18250.499999999993</v>
      </c>
      <c r="AG64" s="221">
        <f t="shared" si="90"/>
        <v>18250.499999999993</v>
      </c>
      <c r="AH64" s="221">
        <f t="shared" si="90"/>
        <v>18250.499999999993</v>
      </c>
      <c r="AI64" s="221">
        <f t="shared" si="90"/>
        <v>18250.499999999993</v>
      </c>
      <c r="AJ64" s="221">
        <f t="shared" si="90"/>
        <v>73001.999999999971</v>
      </c>
      <c r="AK64" s="221">
        <f t="shared" si="90"/>
        <v>20988.074999999993</v>
      </c>
      <c r="AL64" s="221">
        <f t="shared" si="90"/>
        <v>20988.074999999993</v>
      </c>
      <c r="AM64" s="221">
        <f t="shared" si="90"/>
        <v>20988.074999999993</v>
      </c>
      <c r="AN64" s="221">
        <f t="shared" si="90"/>
        <v>20988.074999999993</v>
      </c>
      <c r="AO64" s="222">
        <f t="shared" si="90"/>
        <v>83952.299999999974</v>
      </c>
      <c r="AP64" s="221">
        <f t="shared" ref="AP64:AQ64" si="91">SUM(AP62:AP63)</f>
        <v>24136.286249999994</v>
      </c>
      <c r="AQ64" s="221">
        <f t="shared" si="91"/>
        <v>24136.286249999994</v>
      </c>
      <c r="AR64" s="221">
        <f t="shared" ref="AR64:AS64" si="92">SUM(AR62:AR63)</f>
        <v>24136.286249999994</v>
      </c>
      <c r="AS64" s="221">
        <f t="shared" si="92"/>
        <v>24136.286249999994</v>
      </c>
      <c r="AT64" s="219">
        <f>SUM(AT62:AT63)</f>
        <v>96545.144999999975</v>
      </c>
    </row>
    <row r="65" spans="2:46" ht="17" hidden="1" thickBot="1">
      <c r="B65" s="171"/>
      <c r="C65" s="172"/>
      <c r="D65" s="173"/>
      <c r="E65" s="161"/>
      <c r="F65" s="132"/>
      <c r="G65" s="132"/>
      <c r="H65" s="133"/>
      <c r="I65" s="131"/>
      <c r="J65" s="132"/>
      <c r="K65" s="132"/>
      <c r="L65" s="133"/>
      <c r="M65" s="131"/>
      <c r="N65" s="132"/>
      <c r="O65" s="132"/>
      <c r="P65" s="133"/>
      <c r="Q65" s="131"/>
      <c r="R65" s="132"/>
      <c r="S65" s="132"/>
      <c r="T65" s="140"/>
      <c r="U65" s="150"/>
      <c r="V65" s="154"/>
      <c r="W65" s="154"/>
      <c r="X65" s="155"/>
      <c r="Y65" s="156"/>
      <c r="Z65" s="153"/>
      <c r="AA65" s="156"/>
      <c r="AB65" s="154"/>
      <c r="AC65" s="154"/>
      <c r="AD65" s="155"/>
      <c r="AE65" s="153"/>
      <c r="AF65" s="156"/>
      <c r="AG65" s="154"/>
      <c r="AH65" s="154"/>
      <c r="AI65" s="155"/>
      <c r="AJ65" s="153"/>
      <c r="AK65" s="156"/>
      <c r="AL65" s="154"/>
      <c r="AM65" s="154"/>
      <c r="AN65" s="155"/>
      <c r="AO65" s="153"/>
      <c r="AP65" s="153"/>
      <c r="AQ65" s="153"/>
      <c r="AR65" s="153"/>
      <c r="AS65" s="153"/>
      <c r="AT65" s="153"/>
    </row>
    <row r="66" spans="2:46" s="142" customFormat="1" ht="28" customHeight="1" thickBot="1">
      <c r="B66" s="348" t="s">
        <v>199</v>
      </c>
      <c r="C66" s="196"/>
      <c r="D66" s="197"/>
      <c r="E66" s="141"/>
      <c r="F66" s="141"/>
      <c r="G66" s="141"/>
      <c r="H66" s="141">
        <f>SUM(H31+H39+H46+H55+H60+H64)</f>
        <v>349107</v>
      </c>
      <c r="I66" s="141"/>
      <c r="J66" s="141"/>
      <c r="K66" s="141"/>
      <c r="L66" s="141">
        <f>SUM(L31+L39+L46+L55+L60+L64)</f>
        <v>423407</v>
      </c>
      <c r="M66" s="141"/>
      <c r="N66" s="141"/>
      <c r="O66" s="141"/>
      <c r="P66" s="141">
        <f>SUM(P31+P39+P46+P55+P60+P64)</f>
        <v>275432</v>
      </c>
      <c r="Q66" s="141"/>
      <c r="R66" s="141"/>
      <c r="S66" s="141"/>
      <c r="T66" s="141">
        <f t="shared" ref="T66:AT66" si="93">SUM(T31+T39+T46+T55+T60+T64)</f>
        <v>275432</v>
      </c>
      <c r="U66" s="352">
        <f>SUM(U31+U39+U46+U55+U60+U64)</f>
        <v>1373378</v>
      </c>
      <c r="V66" s="157">
        <f t="shared" si="93"/>
        <v>511068.04999999993</v>
      </c>
      <c r="W66" s="157">
        <f t="shared" si="93"/>
        <v>511068.04999999993</v>
      </c>
      <c r="X66" s="157">
        <f t="shared" si="93"/>
        <v>316746.8</v>
      </c>
      <c r="Y66" s="157">
        <f t="shared" si="93"/>
        <v>316746.8</v>
      </c>
      <c r="Z66" s="351">
        <f t="shared" si="93"/>
        <v>1755629.7</v>
      </c>
      <c r="AA66" s="157">
        <f t="shared" si="93"/>
        <v>587728.25749999995</v>
      </c>
      <c r="AB66" s="157">
        <f t="shared" si="93"/>
        <v>587728.25749999995</v>
      </c>
      <c r="AC66" s="157">
        <f t="shared" si="93"/>
        <v>364258.81999999995</v>
      </c>
      <c r="AD66" s="157">
        <f t="shared" si="93"/>
        <v>364258.81999999995</v>
      </c>
      <c r="AE66" s="351">
        <f t="shared" si="93"/>
        <v>2103974.1549999998</v>
      </c>
      <c r="AF66" s="157">
        <f t="shared" si="93"/>
        <v>675887.49612499971</v>
      </c>
      <c r="AG66" s="157">
        <f t="shared" si="93"/>
        <v>675887.49612499971</v>
      </c>
      <c r="AH66" s="157">
        <f t="shared" si="93"/>
        <v>418897.64299999987</v>
      </c>
      <c r="AI66" s="157">
        <f t="shared" si="93"/>
        <v>418897.64299999987</v>
      </c>
      <c r="AJ66" s="351">
        <f t="shared" si="93"/>
        <v>2589570.278249999</v>
      </c>
      <c r="AK66" s="157">
        <f t="shared" si="93"/>
        <v>777270.62054374965</v>
      </c>
      <c r="AL66" s="157">
        <f t="shared" si="93"/>
        <v>777270.62054374965</v>
      </c>
      <c r="AM66" s="157">
        <f t="shared" si="93"/>
        <v>481732.28944999987</v>
      </c>
      <c r="AN66" s="157">
        <f t="shared" si="93"/>
        <v>481732.28944999987</v>
      </c>
      <c r="AO66" s="350">
        <f t="shared" si="93"/>
        <v>3318005.8199874992</v>
      </c>
      <c r="AP66" s="157">
        <f t="shared" si="93"/>
        <v>893861.2136253122</v>
      </c>
      <c r="AQ66" s="157">
        <f t="shared" si="93"/>
        <v>893861.2136253122</v>
      </c>
      <c r="AR66" s="157">
        <f t="shared" si="93"/>
        <v>553992.13286749984</v>
      </c>
      <c r="AS66" s="157">
        <f t="shared" si="93"/>
        <v>553992.13286749984</v>
      </c>
      <c r="AT66" s="350">
        <f t="shared" si="93"/>
        <v>3695706.6929856241</v>
      </c>
    </row>
    <row r="67" spans="2:46" s="142" customFormat="1" ht="31" hidden="1" customHeight="1">
      <c r="B67" s="198" t="s">
        <v>217</v>
      </c>
      <c r="C67" s="176"/>
      <c r="D67" s="199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1"/>
      <c r="V67" s="202"/>
      <c r="W67" s="202"/>
      <c r="X67" s="202"/>
      <c r="Y67" s="202"/>
      <c r="Z67" s="203"/>
      <c r="AA67" s="202"/>
      <c r="AB67" s="202"/>
      <c r="AC67" s="202"/>
      <c r="AD67" s="202"/>
      <c r="AE67" s="203"/>
      <c r="AF67" s="202"/>
      <c r="AG67" s="202"/>
      <c r="AH67" s="202"/>
      <c r="AI67" s="202"/>
      <c r="AJ67" s="203"/>
      <c r="AK67" s="202"/>
      <c r="AL67" s="202"/>
      <c r="AM67" s="202"/>
      <c r="AN67" s="202"/>
      <c r="AO67" s="204"/>
      <c r="AP67" s="204"/>
      <c r="AQ67" s="204"/>
      <c r="AR67" s="204"/>
      <c r="AS67" s="204"/>
      <c r="AT67" s="204"/>
    </row>
    <row r="68" spans="2:46" s="142" customFormat="1" ht="28" customHeight="1">
      <c r="B68" s="339" t="s">
        <v>248</v>
      </c>
      <c r="C68" s="178"/>
      <c r="D68" s="179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353">
        <f>U23-U66</f>
        <v>-1373378</v>
      </c>
      <c r="V68" s="180"/>
      <c r="W68" s="180"/>
      <c r="X68" s="180"/>
      <c r="Y68" s="180"/>
      <c r="Z68" s="354">
        <f>Z23-Z66</f>
        <v>-1636529.7</v>
      </c>
      <c r="AA68" s="180"/>
      <c r="AB68" s="180"/>
      <c r="AC68" s="180"/>
      <c r="AD68" s="180"/>
      <c r="AE68" s="354">
        <f>AE23-AE66</f>
        <v>2182825.8450000002</v>
      </c>
      <c r="AF68" s="180"/>
      <c r="AG68" s="180"/>
      <c r="AH68" s="180"/>
      <c r="AI68" s="180"/>
      <c r="AJ68" s="354">
        <f>AJ23-AJ66</f>
        <v>7587357.7217500005</v>
      </c>
      <c r="AK68" s="180"/>
      <c r="AL68" s="180"/>
      <c r="AM68" s="180"/>
      <c r="AN68" s="180"/>
      <c r="AO68" s="355">
        <f>AO23-AO66</f>
        <v>16390838.580012504</v>
      </c>
      <c r="AP68" s="355"/>
      <c r="AQ68" s="355"/>
      <c r="AR68" s="355"/>
      <c r="AS68" s="355"/>
      <c r="AT68" s="355">
        <f>AT23-AT66</f>
        <v>33030991.657014377</v>
      </c>
    </row>
    <row r="69" spans="2:46" s="142" customFormat="1" ht="11" customHeight="1">
      <c r="B69" s="340"/>
      <c r="C69" s="341"/>
      <c r="D69" s="342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  <c r="T69" s="343"/>
      <c r="U69" s="344"/>
      <c r="V69" s="345"/>
      <c r="W69" s="345"/>
      <c r="X69" s="345"/>
      <c r="Y69" s="345"/>
      <c r="Z69" s="345"/>
      <c r="AA69" s="345"/>
      <c r="AB69" s="345"/>
      <c r="AC69" s="345"/>
      <c r="AD69" s="345"/>
      <c r="AE69" s="345"/>
      <c r="AF69" s="345"/>
      <c r="AG69" s="345"/>
      <c r="AH69" s="345"/>
      <c r="AI69" s="345"/>
      <c r="AJ69" s="345"/>
      <c r="AK69" s="345"/>
      <c r="AL69" s="345"/>
      <c r="AM69" s="345"/>
      <c r="AN69" s="345"/>
      <c r="AO69" s="346"/>
      <c r="AP69" s="346"/>
      <c r="AQ69" s="346"/>
      <c r="AR69" s="346"/>
      <c r="AS69" s="346"/>
      <c r="AT69" s="346"/>
    </row>
    <row r="70" spans="2:46" s="142" customFormat="1" ht="21" customHeight="1">
      <c r="B70" s="192" t="s">
        <v>212</v>
      </c>
      <c r="C70" s="194"/>
      <c r="D70" s="195"/>
      <c r="E70" s="158"/>
      <c r="F70" s="158"/>
      <c r="G70" s="158"/>
      <c r="H70" s="158"/>
      <c r="I70" s="158"/>
      <c r="J70" s="158"/>
      <c r="K70" s="158"/>
      <c r="L70" s="158"/>
      <c r="M70" s="158"/>
      <c r="N70" s="158"/>
      <c r="O70" s="158"/>
      <c r="P70" s="158"/>
      <c r="Q70" s="158"/>
      <c r="R70" s="158"/>
      <c r="S70" s="158"/>
      <c r="T70" s="158"/>
      <c r="U70" s="187">
        <f>U68</f>
        <v>-1373378</v>
      </c>
      <c r="V70" s="177"/>
      <c r="W70" s="177"/>
      <c r="X70" s="177"/>
      <c r="Y70" s="177"/>
      <c r="Z70" s="177">
        <f>Z68+U70</f>
        <v>-3009907.7</v>
      </c>
      <c r="AA70" s="177">
        <f t="shared" ref="AA70:AO70" si="94">AA68+V70</f>
        <v>0</v>
      </c>
      <c r="AB70" s="177">
        <f t="shared" si="94"/>
        <v>0</v>
      </c>
      <c r="AC70" s="177">
        <f t="shared" si="94"/>
        <v>0</v>
      </c>
      <c r="AD70" s="177">
        <f t="shared" si="94"/>
        <v>0</v>
      </c>
      <c r="AE70" s="177">
        <f t="shared" si="94"/>
        <v>-827081.85499999998</v>
      </c>
      <c r="AF70" s="177">
        <f t="shared" si="94"/>
        <v>0</v>
      </c>
      <c r="AG70" s="177">
        <f t="shared" si="94"/>
        <v>0</v>
      </c>
      <c r="AH70" s="177">
        <f t="shared" si="94"/>
        <v>0</v>
      </c>
      <c r="AI70" s="177">
        <f t="shared" si="94"/>
        <v>0</v>
      </c>
      <c r="AJ70" s="177">
        <f t="shared" si="94"/>
        <v>6760275.86675</v>
      </c>
      <c r="AK70" s="177">
        <f t="shared" si="94"/>
        <v>0</v>
      </c>
      <c r="AL70" s="177">
        <f t="shared" si="94"/>
        <v>0</v>
      </c>
      <c r="AM70" s="177">
        <f t="shared" si="94"/>
        <v>0</v>
      </c>
      <c r="AN70" s="177">
        <f t="shared" si="94"/>
        <v>0</v>
      </c>
      <c r="AO70" s="188">
        <f t="shared" si="94"/>
        <v>23151114.446762502</v>
      </c>
      <c r="AP70" s="188"/>
      <c r="AQ70" s="188"/>
      <c r="AR70" s="188"/>
      <c r="AS70" s="188"/>
      <c r="AT70" s="188">
        <f t="shared" ref="AT70" si="95">AT68+AO70</f>
        <v>56182106.10377688</v>
      </c>
    </row>
    <row r="71" spans="2:46" ht="21" customHeight="1">
      <c r="B71" s="192" t="s">
        <v>213</v>
      </c>
      <c r="C71" s="194"/>
      <c r="D71" s="285">
        <f>Valuation!$B$3</f>
        <v>4000000</v>
      </c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0"/>
      <c r="Q71" s="160"/>
      <c r="R71" s="160"/>
      <c r="S71" s="160"/>
      <c r="T71" s="160"/>
      <c r="U71" s="187">
        <f>D71+U70</f>
        <v>2626622</v>
      </c>
      <c r="V71" s="177"/>
      <c r="W71" s="177"/>
      <c r="X71" s="177"/>
      <c r="Y71" s="177"/>
      <c r="Z71" s="177">
        <f>U71+Z68</f>
        <v>990092.3</v>
      </c>
      <c r="AA71" s="177">
        <f t="shared" ref="AA71:AO71" si="96">V71+AA68</f>
        <v>0</v>
      </c>
      <c r="AB71" s="177">
        <f t="shared" si="96"/>
        <v>0</v>
      </c>
      <c r="AC71" s="177">
        <f t="shared" si="96"/>
        <v>0</v>
      </c>
      <c r="AD71" s="177">
        <f t="shared" si="96"/>
        <v>0</v>
      </c>
      <c r="AE71" s="177">
        <f t="shared" si="96"/>
        <v>3172918.1450000005</v>
      </c>
      <c r="AF71" s="177">
        <f t="shared" si="96"/>
        <v>0</v>
      </c>
      <c r="AG71" s="177">
        <f t="shared" si="96"/>
        <v>0</v>
      </c>
      <c r="AH71" s="177">
        <f t="shared" si="96"/>
        <v>0</v>
      </c>
      <c r="AI71" s="177">
        <f t="shared" si="96"/>
        <v>0</v>
      </c>
      <c r="AJ71" s="177">
        <f t="shared" si="96"/>
        <v>10760275.866750002</v>
      </c>
      <c r="AK71" s="177">
        <f t="shared" si="96"/>
        <v>0</v>
      </c>
      <c r="AL71" s="177">
        <f t="shared" si="96"/>
        <v>0</v>
      </c>
      <c r="AM71" s="177">
        <f t="shared" si="96"/>
        <v>0</v>
      </c>
      <c r="AN71" s="177">
        <f t="shared" si="96"/>
        <v>0</v>
      </c>
      <c r="AO71" s="188">
        <f t="shared" si="96"/>
        <v>27151114.446762506</v>
      </c>
      <c r="AP71" s="188"/>
      <c r="AQ71" s="188"/>
      <c r="AR71" s="188"/>
      <c r="AS71" s="188"/>
      <c r="AT71" s="188">
        <f t="shared" ref="AT71" si="97">AO71+AT68</f>
        <v>60182106.103776887</v>
      </c>
    </row>
    <row r="72" spans="2:46" ht="26" hidden="1">
      <c r="B72" s="198" t="s">
        <v>231</v>
      </c>
      <c r="C72" s="176"/>
      <c r="D72" s="199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1"/>
      <c r="V72" s="202"/>
      <c r="W72" s="202"/>
      <c r="X72" s="202"/>
      <c r="Y72" s="202"/>
      <c r="Z72" s="203"/>
      <c r="AA72" s="202"/>
      <c r="AB72" s="202"/>
      <c r="AC72" s="202"/>
      <c r="AD72" s="202"/>
      <c r="AE72" s="203"/>
      <c r="AF72" s="202"/>
      <c r="AG72" s="202"/>
      <c r="AH72" s="202"/>
      <c r="AI72" s="202"/>
      <c r="AJ72" s="203"/>
      <c r="AK72" s="202"/>
      <c r="AL72" s="202"/>
      <c r="AM72" s="202"/>
      <c r="AN72" s="202"/>
      <c r="AO72" s="204"/>
      <c r="AP72" s="204"/>
      <c r="AQ72" s="204"/>
      <c r="AR72" s="204"/>
      <c r="AS72" s="204"/>
      <c r="AT72" s="204"/>
    </row>
    <row r="73" spans="2:46" ht="21" hidden="1" customHeight="1">
      <c r="B73" s="181" t="s">
        <v>216</v>
      </c>
      <c r="C73" s="182"/>
      <c r="D73" s="183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5">
        <f>Z23/2-U66</f>
        <v>-1313828</v>
      </c>
      <c r="V73" s="180">
        <f>V27-V71</f>
        <v>6899.9999999999991</v>
      </c>
      <c r="W73" s="180">
        <f>W27-W71</f>
        <v>6899.9999999999991</v>
      </c>
      <c r="X73" s="180">
        <f>X27-X71</f>
        <v>6899.9999999999991</v>
      </c>
      <c r="Y73" s="180">
        <f>Y27-Y71</f>
        <v>6899.9999999999991</v>
      </c>
      <c r="Z73" s="180">
        <f>(Z23+AE23)/2-Z66</f>
        <v>447320.30000000005</v>
      </c>
      <c r="AA73" s="180">
        <f>(AA23+AF23)/2-AA66</f>
        <v>-587728.25749999995</v>
      </c>
      <c r="AB73" s="180">
        <f>(AB23+AG23)/2-AB66</f>
        <v>-587728.25749999995</v>
      </c>
      <c r="AC73" s="180">
        <f>(AC23+AH23)/2-AC66</f>
        <v>-364258.81999999995</v>
      </c>
      <c r="AD73" s="180">
        <f>(AD23+AI23)/2-AD66</f>
        <v>-364258.81999999995</v>
      </c>
      <c r="AE73" s="180">
        <f>(AE23+AJ23)/2-AE66</f>
        <v>5127889.8450000007</v>
      </c>
      <c r="AF73" s="180">
        <f>(AF23+AK23)/2-AF66</f>
        <v>-675887.49612499971</v>
      </c>
      <c r="AG73" s="180">
        <f>(AG23+AL23)/2-AG66</f>
        <v>-675887.49612499971</v>
      </c>
      <c r="AH73" s="180">
        <f>(AH23+AM23)/2-AH66</f>
        <v>-418897.64299999987</v>
      </c>
      <c r="AI73" s="180">
        <f>(AI23+AN23)/2-AI66</f>
        <v>-418897.64299999987</v>
      </c>
      <c r="AJ73" s="180">
        <f>(AJ23+AO23)/2-AJ66</f>
        <v>12353315.921750002</v>
      </c>
      <c r="AK73" s="180">
        <f>(AK23+AP23)/2-AK66</f>
        <v>-777270.62054374965</v>
      </c>
      <c r="AL73" s="180">
        <f>(AL23+AQ23)/2-AL66</f>
        <v>-777270.62054374965</v>
      </c>
      <c r="AM73" s="180">
        <f>(AM23+AR23)/2-AM66</f>
        <v>-481732.28944999987</v>
      </c>
      <c r="AN73" s="180">
        <f>(AN23+AS23)/2-AN66</f>
        <v>-481732.28944999987</v>
      </c>
      <c r="AO73" s="180">
        <f>(AO23+AT23)/2-AO66</f>
        <v>24899765.555012502</v>
      </c>
      <c r="AP73" s="180"/>
      <c r="AQ73" s="180"/>
      <c r="AR73" s="180"/>
      <c r="AS73" s="180"/>
      <c r="AT73" s="180"/>
    </row>
    <row r="74" spans="2:46" ht="21" hidden="1" customHeight="1">
      <c r="B74" s="192" t="s">
        <v>212</v>
      </c>
      <c r="C74" s="193"/>
      <c r="D74" s="193"/>
      <c r="U74" s="187">
        <f>U73</f>
        <v>-1313828</v>
      </c>
      <c r="V74" s="177"/>
      <c r="W74" s="177"/>
      <c r="X74" s="177"/>
      <c r="Y74" s="177"/>
      <c r="Z74" s="177">
        <f>U74+Z73</f>
        <v>-866507.7</v>
      </c>
      <c r="AA74" s="177"/>
      <c r="AB74" s="177"/>
      <c r="AC74" s="177"/>
      <c r="AD74" s="177"/>
      <c r="AE74" s="177">
        <f t="shared" ref="AE74:AO74" si="98">Z74+AE73</f>
        <v>4261382.1450000005</v>
      </c>
      <c r="AF74" s="177">
        <f t="shared" si="98"/>
        <v>-675887.49612499971</v>
      </c>
      <c r="AG74" s="177">
        <f t="shared" si="98"/>
        <v>-675887.49612499971</v>
      </c>
      <c r="AH74" s="177">
        <f t="shared" si="98"/>
        <v>-418897.64299999987</v>
      </c>
      <c r="AI74" s="177">
        <f t="shared" si="98"/>
        <v>-418897.64299999987</v>
      </c>
      <c r="AJ74" s="177">
        <f t="shared" si="98"/>
        <v>16614698.066750001</v>
      </c>
      <c r="AK74" s="177">
        <f t="shared" si="98"/>
        <v>-1453158.1166687494</v>
      </c>
      <c r="AL74" s="177">
        <f t="shared" si="98"/>
        <v>-1453158.1166687494</v>
      </c>
      <c r="AM74" s="177">
        <f t="shared" si="98"/>
        <v>-900629.93244999973</v>
      </c>
      <c r="AN74" s="177">
        <f t="shared" si="98"/>
        <v>-900629.93244999973</v>
      </c>
      <c r="AO74" s="188">
        <f t="shared" si="98"/>
        <v>41514463.621762499</v>
      </c>
      <c r="AP74" s="188"/>
      <c r="AQ74" s="188"/>
      <c r="AR74" s="188"/>
      <c r="AS74" s="188"/>
      <c r="AT74" s="188"/>
    </row>
    <row r="75" spans="2:46" ht="21" hidden="1" customHeight="1" thickBot="1">
      <c r="B75" s="192" t="s">
        <v>213</v>
      </c>
      <c r="C75" s="193"/>
      <c r="D75" s="285">
        <f>Valuation!$B$3</f>
        <v>4000000</v>
      </c>
      <c r="U75" s="189">
        <f>D75+U74</f>
        <v>2686172</v>
      </c>
      <c r="V75" s="190"/>
      <c r="W75" s="190"/>
      <c r="X75" s="190"/>
      <c r="Y75" s="190"/>
      <c r="Z75" s="190">
        <f>U75+Z73</f>
        <v>3133492.3</v>
      </c>
      <c r="AA75" s="190">
        <f t="shared" ref="AA75" si="99">V75+AA73</f>
        <v>-587728.25749999995</v>
      </c>
      <c r="AB75" s="190">
        <f t="shared" ref="AB75" si="100">W75+AB73</f>
        <v>-587728.25749999995</v>
      </c>
      <c r="AC75" s="190">
        <f t="shared" ref="AC75" si="101">X75+AC73</f>
        <v>-364258.81999999995</v>
      </c>
      <c r="AD75" s="190">
        <f t="shared" ref="AD75" si="102">Y75+AD73</f>
        <v>-364258.81999999995</v>
      </c>
      <c r="AE75" s="190">
        <f t="shared" ref="AE75" si="103">Z75+AE73</f>
        <v>8261382.1450000005</v>
      </c>
      <c r="AF75" s="190">
        <f t="shared" ref="AF75" si="104">AA75+AF73</f>
        <v>-1263615.7536249997</v>
      </c>
      <c r="AG75" s="190">
        <f t="shared" ref="AG75" si="105">AB75+AG73</f>
        <v>-1263615.7536249997</v>
      </c>
      <c r="AH75" s="190">
        <f t="shared" ref="AH75" si="106">AC75+AH73</f>
        <v>-783156.46299999976</v>
      </c>
      <c r="AI75" s="190">
        <f t="shared" ref="AI75" si="107">AD75+AI73</f>
        <v>-783156.46299999976</v>
      </c>
      <c r="AJ75" s="190">
        <f t="shared" ref="AJ75" si="108">AE75+AJ73</f>
        <v>20614698.066750001</v>
      </c>
      <c r="AK75" s="190">
        <f t="shared" ref="AK75" si="109">AF75+AK73</f>
        <v>-2040886.3741687494</v>
      </c>
      <c r="AL75" s="190">
        <f t="shared" ref="AL75" si="110">AG75+AL73</f>
        <v>-2040886.3741687494</v>
      </c>
      <c r="AM75" s="190">
        <f t="shared" ref="AM75" si="111">AH75+AM73</f>
        <v>-1264888.7524499996</v>
      </c>
      <c r="AN75" s="190">
        <f t="shared" ref="AN75" si="112">AI75+AN73</f>
        <v>-1264888.7524499996</v>
      </c>
      <c r="AO75" s="191">
        <f t="shared" ref="AO75" si="113">AJ75+AO73</f>
        <v>45514463.621762499</v>
      </c>
      <c r="AP75" s="191"/>
      <c r="AQ75" s="191"/>
      <c r="AR75" s="191"/>
      <c r="AS75" s="191"/>
      <c r="AT75" s="191"/>
    </row>
    <row r="76" spans="2:46" ht="26" hidden="1">
      <c r="B76" s="198" t="s">
        <v>232</v>
      </c>
      <c r="C76" s="176"/>
      <c r="D76" s="199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1"/>
      <c r="V76" s="202"/>
      <c r="W76" s="202"/>
      <c r="X76" s="202"/>
      <c r="Y76" s="202"/>
      <c r="Z76" s="203"/>
      <c r="AA76" s="202"/>
      <c r="AB76" s="202"/>
      <c r="AC76" s="202"/>
      <c r="AD76" s="202"/>
      <c r="AE76" s="203"/>
      <c r="AF76" s="202"/>
      <c r="AG76" s="202"/>
      <c r="AH76" s="202"/>
      <c r="AI76" s="202"/>
      <c r="AJ76" s="203"/>
      <c r="AK76" s="202"/>
      <c r="AL76" s="202"/>
      <c r="AM76" s="202"/>
      <c r="AN76" s="202"/>
      <c r="AO76" s="204"/>
      <c r="AP76" s="204"/>
      <c r="AQ76" s="204"/>
      <c r="AR76" s="204"/>
      <c r="AS76" s="204"/>
      <c r="AT76" s="204"/>
    </row>
    <row r="77" spans="2:46" ht="21" hidden="1" customHeight="1">
      <c r="B77" s="181" t="s">
        <v>216</v>
      </c>
      <c r="C77" s="182"/>
      <c r="D77" s="183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5">
        <f>Z23-U66</f>
        <v>-1254278</v>
      </c>
      <c r="V77" s="180">
        <f>AA23-V66</f>
        <v>-511068.04999999993</v>
      </c>
      <c r="W77" s="180">
        <f>AB23-W66</f>
        <v>-511068.04999999993</v>
      </c>
      <c r="X77" s="180">
        <f>AC23-X66</f>
        <v>-316746.8</v>
      </c>
      <c r="Y77" s="180">
        <f>AD23-Y66</f>
        <v>-316746.8</v>
      </c>
      <c r="Z77" s="180">
        <f>AE23-Z66</f>
        <v>2531170.2999999998</v>
      </c>
      <c r="AA77" s="180">
        <f>AF23-AA66</f>
        <v>-587728.25749999995</v>
      </c>
      <c r="AB77" s="180">
        <f>AG23-AB66</f>
        <v>-587728.25749999995</v>
      </c>
      <c r="AC77" s="180">
        <f>AH23-AC66</f>
        <v>-364258.81999999995</v>
      </c>
      <c r="AD77" s="180">
        <f>AI23-AD66</f>
        <v>-364258.81999999995</v>
      </c>
      <c r="AE77" s="180">
        <f>AJ23-AE66</f>
        <v>8072953.8450000007</v>
      </c>
      <c r="AF77" s="180">
        <f>AK23-AF66</f>
        <v>-675887.49612499971</v>
      </c>
      <c r="AG77" s="180">
        <f>AL23-AG66</f>
        <v>-675887.49612499971</v>
      </c>
      <c r="AH77" s="180">
        <f>AM23-AH66</f>
        <v>-418897.64299999987</v>
      </c>
      <c r="AI77" s="180">
        <f>AN23-AI66</f>
        <v>-418897.64299999987</v>
      </c>
      <c r="AJ77" s="180">
        <f>AO23-AJ66</f>
        <v>17119274.121750005</v>
      </c>
      <c r="AK77" s="180">
        <f>AP23-AK66</f>
        <v>-777270.62054374965</v>
      </c>
      <c r="AL77" s="180">
        <f>AQ23-AL66</f>
        <v>-777270.62054374965</v>
      </c>
      <c r="AM77" s="180">
        <f>AR23-AM66</f>
        <v>-481732.28944999987</v>
      </c>
      <c r="AN77" s="180">
        <f>AS23-AN66</f>
        <v>-481732.28944999987</v>
      </c>
      <c r="AO77" s="186">
        <f>AT23-AO66</f>
        <v>33408692.530012503</v>
      </c>
      <c r="AP77" s="186"/>
      <c r="AQ77" s="186"/>
      <c r="AR77" s="186"/>
      <c r="AS77" s="186"/>
      <c r="AT77" s="186"/>
    </row>
    <row r="78" spans="2:46" ht="21" hidden="1" customHeight="1">
      <c r="B78" s="192" t="s">
        <v>212</v>
      </c>
      <c r="C78" s="193"/>
      <c r="D78" s="193"/>
      <c r="U78" s="187">
        <f>U77</f>
        <v>-1254278</v>
      </c>
      <c r="V78" s="177"/>
      <c r="W78" s="177"/>
      <c r="X78" s="177"/>
      <c r="Y78" s="177"/>
      <c r="Z78" s="177">
        <f>U78+Z77</f>
        <v>1276892.2999999998</v>
      </c>
      <c r="AA78" s="177"/>
      <c r="AB78" s="177"/>
      <c r="AC78" s="177"/>
      <c r="AD78" s="177"/>
      <c r="AE78" s="177">
        <f t="shared" ref="AE78:AO78" si="114">Z78+AE77</f>
        <v>9349846.1449999996</v>
      </c>
      <c r="AF78" s="177">
        <f t="shared" si="114"/>
        <v>-675887.49612499971</v>
      </c>
      <c r="AG78" s="177">
        <f t="shared" si="114"/>
        <v>-675887.49612499971</v>
      </c>
      <c r="AH78" s="177">
        <f t="shared" si="114"/>
        <v>-418897.64299999987</v>
      </c>
      <c r="AI78" s="177">
        <f t="shared" si="114"/>
        <v>-418897.64299999987</v>
      </c>
      <c r="AJ78" s="177">
        <f t="shared" si="114"/>
        <v>26469120.266750004</v>
      </c>
      <c r="AK78" s="177">
        <f t="shared" si="114"/>
        <v>-1453158.1166687494</v>
      </c>
      <c r="AL78" s="177">
        <f t="shared" si="114"/>
        <v>-1453158.1166687494</v>
      </c>
      <c r="AM78" s="177">
        <f t="shared" si="114"/>
        <v>-900629.93244999973</v>
      </c>
      <c r="AN78" s="177">
        <f t="shared" si="114"/>
        <v>-900629.93244999973</v>
      </c>
      <c r="AO78" s="188">
        <f t="shared" si="114"/>
        <v>59877812.796762511</v>
      </c>
      <c r="AP78" s="188"/>
      <c r="AQ78" s="188"/>
      <c r="AR78" s="188"/>
      <c r="AS78" s="188"/>
      <c r="AT78" s="188"/>
    </row>
    <row r="79" spans="2:46" ht="21" hidden="1" customHeight="1" thickBot="1">
      <c r="B79" s="192" t="s">
        <v>213</v>
      </c>
      <c r="C79" s="193"/>
      <c r="D79" s="285">
        <f>Valuation!$B$3</f>
        <v>4000000</v>
      </c>
      <c r="U79" s="189">
        <f>D79+U78</f>
        <v>2745722</v>
      </c>
      <c r="V79" s="190"/>
      <c r="W79" s="190"/>
      <c r="X79" s="190"/>
      <c r="Y79" s="190"/>
      <c r="Z79" s="190">
        <f>U79+Z77</f>
        <v>5276892.3</v>
      </c>
      <c r="AA79" s="190">
        <f t="shared" ref="AA79" si="115">V79+AA77</f>
        <v>-587728.25749999995</v>
      </c>
      <c r="AB79" s="190">
        <f t="shared" ref="AB79" si="116">W79+AB77</f>
        <v>-587728.25749999995</v>
      </c>
      <c r="AC79" s="190">
        <f t="shared" ref="AC79" si="117">X79+AC77</f>
        <v>-364258.81999999995</v>
      </c>
      <c r="AD79" s="190">
        <f t="shared" ref="AD79" si="118">Y79+AD77</f>
        <v>-364258.81999999995</v>
      </c>
      <c r="AE79" s="190">
        <f t="shared" ref="AE79" si="119">Z79+AE77</f>
        <v>13349846.145</v>
      </c>
      <c r="AF79" s="190">
        <f t="shared" ref="AF79" si="120">AA79+AF77</f>
        <v>-1263615.7536249997</v>
      </c>
      <c r="AG79" s="190">
        <f t="shared" ref="AG79" si="121">AB79+AG77</f>
        <v>-1263615.7536249997</v>
      </c>
      <c r="AH79" s="190">
        <f t="shared" ref="AH79" si="122">AC79+AH77</f>
        <v>-783156.46299999976</v>
      </c>
      <c r="AI79" s="190">
        <f t="shared" ref="AI79" si="123">AD79+AI77</f>
        <v>-783156.46299999976</v>
      </c>
      <c r="AJ79" s="190">
        <f t="shared" ref="AJ79" si="124">AE79+AJ77</f>
        <v>30469120.266750004</v>
      </c>
      <c r="AK79" s="190">
        <f t="shared" ref="AK79" si="125">AF79+AK77</f>
        <v>-2040886.3741687494</v>
      </c>
      <c r="AL79" s="190">
        <f t="shared" ref="AL79" si="126">AG79+AL77</f>
        <v>-2040886.3741687494</v>
      </c>
      <c r="AM79" s="190">
        <f t="shared" ref="AM79" si="127">AH79+AM77</f>
        <v>-1264888.7524499996</v>
      </c>
      <c r="AN79" s="190">
        <f t="shared" ref="AN79" si="128">AI79+AN77</f>
        <v>-1264888.7524499996</v>
      </c>
      <c r="AO79" s="191">
        <f t="shared" ref="AO79" si="129">AJ79+AO77</f>
        <v>63877812.796762511</v>
      </c>
      <c r="AP79" s="191"/>
      <c r="AQ79" s="191"/>
      <c r="AR79" s="191"/>
      <c r="AS79" s="191"/>
      <c r="AT79" s="191"/>
    </row>
  </sheetData>
  <pageMargins left="0.75000000000000011" right="0.75000000000000011" top="1" bottom="1" header="0.5" footer="0.5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110"/>
  <sheetViews>
    <sheetView topLeftCell="F1" zoomScale="90" zoomScaleNormal="90" zoomScalePageLayoutView="90" workbookViewId="0">
      <selection activeCell="S1" sqref="S1:U1048576"/>
    </sheetView>
  </sheetViews>
  <sheetFormatPr baseColWidth="10" defaultColWidth="10.83203125" defaultRowHeight="16" x14ac:dyDescent="0"/>
  <cols>
    <col min="1" max="1" width="21.6640625" style="1" hidden="1" customWidth="1"/>
    <col min="2" max="2" width="9.6640625" style="1" customWidth="1"/>
    <col min="3" max="3" width="26.5" style="1" customWidth="1"/>
    <col min="4" max="4" width="11.6640625" style="1" customWidth="1"/>
    <col min="5" max="5" width="15.83203125" style="1" customWidth="1"/>
    <col min="6" max="6" width="10.1640625" style="1" customWidth="1"/>
    <col min="7" max="7" width="11.6640625" style="1" customWidth="1"/>
    <col min="8" max="8" width="15.83203125" style="1" customWidth="1"/>
    <col min="9" max="9" width="10.1640625" style="1" customWidth="1"/>
    <col min="10" max="10" width="11.6640625" style="1" customWidth="1"/>
    <col min="11" max="11" width="15.83203125" style="1" customWidth="1"/>
    <col min="12" max="12" width="10.1640625" style="1" customWidth="1"/>
    <col min="13" max="13" width="11.6640625" style="1" customWidth="1"/>
    <col min="14" max="14" width="15.6640625" style="1" customWidth="1"/>
    <col min="15" max="15" width="10.1640625" style="1" customWidth="1"/>
    <col min="16" max="16" width="11.6640625" style="1" customWidth="1"/>
    <col min="17" max="17" width="17.1640625" style="1" customWidth="1"/>
    <col min="18" max="18" width="13.5" style="1" customWidth="1"/>
    <col min="19" max="19" width="14.5" style="1" hidden="1" customWidth="1"/>
    <col min="20" max="20" width="16.6640625" style="1" hidden="1" customWidth="1"/>
    <col min="21" max="21" width="11.6640625" style="1" hidden="1" customWidth="1"/>
    <col min="22" max="22" width="11.6640625" style="1" customWidth="1"/>
    <col min="23" max="23" width="19.83203125" style="1" customWidth="1"/>
    <col min="24" max="16384" width="10.83203125" style="1"/>
  </cols>
  <sheetData>
    <row r="1" spans="1:23" ht="29" customHeight="1">
      <c r="F1" s="2" t="s">
        <v>0</v>
      </c>
    </row>
    <row r="3" spans="1:23" ht="33" customHeight="1">
      <c r="A3" s="14" t="s">
        <v>1</v>
      </c>
      <c r="B3" s="15"/>
      <c r="C3" s="15"/>
      <c r="D3" s="370" t="s">
        <v>2</v>
      </c>
      <c r="E3" s="371"/>
      <c r="F3" s="372" t="s">
        <v>47</v>
      </c>
      <c r="G3" s="370" t="s">
        <v>3</v>
      </c>
      <c r="H3" s="371" t="s">
        <v>3</v>
      </c>
      <c r="I3" s="372" t="s">
        <v>47</v>
      </c>
      <c r="J3" s="370" t="s">
        <v>22</v>
      </c>
      <c r="K3" s="371" t="s">
        <v>4</v>
      </c>
      <c r="L3" s="372" t="s">
        <v>47</v>
      </c>
      <c r="M3" s="370" t="s">
        <v>5</v>
      </c>
      <c r="N3" s="371" t="s">
        <v>5</v>
      </c>
      <c r="O3" s="372" t="s">
        <v>47</v>
      </c>
      <c r="P3" s="370" t="s">
        <v>48</v>
      </c>
      <c r="Q3" s="371" t="s">
        <v>5</v>
      </c>
      <c r="R3" s="372" t="s">
        <v>47</v>
      </c>
      <c r="S3" s="370" t="s">
        <v>258</v>
      </c>
      <c r="T3" s="371" t="s">
        <v>5</v>
      </c>
      <c r="U3" s="372" t="s">
        <v>47</v>
      </c>
      <c r="V3" s="370" t="s">
        <v>259</v>
      </c>
      <c r="W3" s="371"/>
    </row>
    <row r="4" spans="1:23" ht="16" customHeight="1">
      <c r="A4" s="16"/>
      <c r="B4" s="17"/>
      <c r="C4" s="17"/>
      <c r="D4" s="18" t="s">
        <v>45</v>
      </c>
      <c r="E4" s="19" t="s">
        <v>46</v>
      </c>
      <c r="F4" s="373"/>
      <c r="G4" s="18" t="s">
        <v>45</v>
      </c>
      <c r="H4" s="19" t="s">
        <v>46</v>
      </c>
      <c r="I4" s="373"/>
      <c r="J4" s="20" t="s">
        <v>45</v>
      </c>
      <c r="K4" s="19" t="s">
        <v>46</v>
      </c>
      <c r="L4" s="373"/>
      <c r="M4" s="20" t="s">
        <v>45</v>
      </c>
      <c r="N4" s="21" t="s">
        <v>46</v>
      </c>
      <c r="O4" s="373"/>
      <c r="P4" s="20" t="s">
        <v>45</v>
      </c>
      <c r="Q4" s="21" t="s">
        <v>46</v>
      </c>
      <c r="R4" s="373"/>
      <c r="S4" s="20" t="s">
        <v>45</v>
      </c>
      <c r="T4" s="21" t="s">
        <v>46</v>
      </c>
      <c r="U4" s="373"/>
      <c r="V4" s="20" t="s">
        <v>45</v>
      </c>
      <c r="W4" s="19" t="s">
        <v>46</v>
      </c>
    </row>
    <row r="5" spans="1:23" ht="28" customHeight="1">
      <c r="A5" s="22"/>
      <c r="B5" s="65">
        <f>'Revenue data sheet'!E5</f>
        <v>100</v>
      </c>
      <c r="C5" s="24" t="s">
        <v>12</v>
      </c>
      <c r="D5" s="40"/>
      <c r="E5" s="41"/>
      <c r="F5" s="71"/>
      <c r="G5" s="40"/>
      <c r="H5" s="41"/>
      <c r="I5" s="71"/>
      <c r="J5" s="40"/>
      <c r="K5" s="41"/>
      <c r="L5" s="71"/>
      <c r="M5" s="40"/>
      <c r="N5" s="41"/>
      <c r="O5" s="29"/>
      <c r="P5" s="40"/>
      <c r="Q5" s="41"/>
      <c r="R5" s="29"/>
      <c r="S5" s="29"/>
      <c r="T5" s="29"/>
      <c r="U5" s="29"/>
      <c r="V5" s="9"/>
      <c r="W5" s="10"/>
    </row>
    <row r="6" spans="1:23" ht="18" customHeight="1">
      <c r="A6" s="25" t="s">
        <v>6</v>
      </c>
      <c r="B6" s="26"/>
      <c r="C6" s="27"/>
      <c r="D6" s="42"/>
      <c r="E6" s="43"/>
      <c r="F6" s="67"/>
      <c r="G6" s="42"/>
      <c r="H6" s="43"/>
      <c r="I6" s="67"/>
      <c r="J6" s="42"/>
      <c r="K6" s="43"/>
      <c r="L6" s="67"/>
      <c r="M6" s="42"/>
      <c r="N6" s="43"/>
      <c r="O6" s="67"/>
      <c r="P6" s="42"/>
      <c r="Q6" s="43"/>
      <c r="R6" s="67"/>
      <c r="S6" s="42"/>
      <c r="T6" s="43"/>
      <c r="U6" s="67"/>
      <c r="V6" s="13"/>
      <c r="W6" s="12"/>
    </row>
    <row r="7" spans="1:23" ht="18" customHeight="1">
      <c r="A7" s="37"/>
      <c r="B7" s="23"/>
      <c r="C7" s="29" t="s">
        <v>7</v>
      </c>
      <c r="D7" s="45">
        <f>'Revenue data sheet'!E7</f>
        <v>100</v>
      </c>
      <c r="E7" s="46">
        <f>IF(D8=0,0,(D7*'Revenue data sheet'!E5))</f>
        <v>0</v>
      </c>
      <c r="F7" s="68">
        <f>'Revenue data sheet'!E45</f>
        <v>0.1</v>
      </c>
      <c r="G7" s="45">
        <f>D7*(1-F7)</f>
        <v>90</v>
      </c>
      <c r="H7" s="46">
        <f>IF(G8=0,0,(G7*'Revenue data sheet'!F$5))</f>
        <v>9000</v>
      </c>
      <c r="I7" s="68">
        <f>'Revenue data sheet'!F45</f>
        <v>0.1</v>
      </c>
      <c r="J7" s="45">
        <f>G7*(1-I7)</f>
        <v>81</v>
      </c>
      <c r="K7" s="46">
        <f>IF(J8=0,0,(J7*'Revenue data sheet'!G$5))</f>
        <v>8100</v>
      </c>
      <c r="L7" s="68">
        <f>'Revenue data sheet'!G45</f>
        <v>0.15</v>
      </c>
      <c r="M7" s="45">
        <f>J7*(1-L7)</f>
        <v>68.849999999999994</v>
      </c>
      <c r="N7" s="46">
        <f>IF(M8=0,0,(M7*'Revenue data sheet'!H$5))</f>
        <v>6884.9999999999991</v>
      </c>
      <c r="O7" s="68">
        <f>'Revenue data sheet'!H45</f>
        <v>0.15</v>
      </c>
      <c r="P7" s="45">
        <f>M7*(1-O7)</f>
        <v>58.522499999999994</v>
      </c>
      <c r="Q7" s="46">
        <f>IF(P8=0,0,(P7*'Revenue data sheet'!I$5))</f>
        <v>5852.2499999999991</v>
      </c>
      <c r="R7" s="68">
        <f>'Revenue data sheet'!I45</f>
        <v>0.15</v>
      </c>
      <c r="S7" s="45">
        <f>P7*(1-R7)</f>
        <v>49.744124999999997</v>
      </c>
      <c r="T7" s="46">
        <f>IF(S8=0,0,(S7*'Revenue data sheet'!J$5))</f>
        <v>4974.4124999999995</v>
      </c>
      <c r="U7" s="68">
        <f>'Revenue data sheet'!J45</f>
        <v>0.15</v>
      </c>
      <c r="V7" s="9"/>
      <c r="W7" s="7">
        <f>E7+H7+K7+N7+Q7</f>
        <v>29837.25</v>
      </c>
    </row>
    <row r="8" spans="1:23" ht="18" customHeight="1">
      <c r="A8" s="37"/>
      <c r="B8" s="23"/>
      <c r="C8" s="29" t="s">
        <v>8</v>
      </c>
      <c r="D8" s="42"/>
      <c r="E8" s="43"/>
      <c r="F8" s="67"/>
      <c r="G8" s="45">
        <f>'Revenue data sheet'!F7</f>
        <v>100</v>
      </c>
      <c r="H8" s="46">
        <f>IF(G9=0,0,(G8*'Revenue data sheet'!F$5))</f>
        <v>0</v>
      </c>
      <c r="I8" s="68">
        <f>F7</f>
        <v>0.1</v>
      </c>
      <c r="J8" s="45">
        <f>G8*(1-I8)</f>
        <v>90</v>
      </c>
      <c r="K8" s="46">
        <f>IF(J9=0,0,(J8*'Revenue data sheet'!G$5))</f>
        <v>9000</v>
      </c>
      <c r="L8" s="68">
        <f>I7</f>
        <v>0.1</v>
      </c>
      <c r="M8" s="45">
        <f t="shared" ref="M8:M9" si="0">J8*(1-L8)</f>
        <v>81</v>
      </c>
      <c r="N8" s="46">
        <f>IF(M9=0,0,(M8*'Revenue data sheet'!H$5))</f>
        <v>8100</v>
      </c>
      <c r="O8" s="68">
        <f>L7</f>
        <v>0.15</v>
      </c>
      <c r="P8" s="45">
        <f t="shared" ref="P8:P10" si="1">M8*(1-O8)</f>
        <v>68.849999999999994</v>
      </c>
      <c r="Q8" s="46">
        <f>IF(P9=0,0,(P8*'Revenue data sheet'!I$5))</f>
        <v>6884.9999999999991</v>
      </c>
      <c r="R8" s="68">
        <f>O7</f>
        <v>0.15</v>
      </c>
      <c r="S8" s="45">
        <f t="shared" ref="S8:S11" si="2">P8*(1-R8)</f>
        <v>58.522499999999994</v>
      </c>
      <c r="T8" s="46">
        <f>IF(S9=0,0,(S8*'Revenue data sheet'!J$5))</f>
        <v>5852.2499999999991</v>
      </c>
      <c r="U8" s="68">
        <f>R7</f>
        <v>0.15</v>
      </c>
      <c r="V8" s="9"/>
      <c r="W8" s="7">
        <f t="shared" ref="W8:W11" si="3">E8+H8+K8+N8+Q8</f>
        <v>23985</v>
      </c>
    </row>
    <row r="9" spans="1:23" ht="18" customHeight="1">
      <c r="A9" s="37"/>
      <c r="B9" s="23"/>
      <c r="C9" s="29" t="s">
        <v>9</v>
      </c>
      <c r="D9" s="42"/>
      <c r="E9" s="43"/>
      <c r="F9" s="67"/>
      <c r="G9" s="42"/>
      <c r="H9" s="43"/>
      <c r="I9" s="67"/>
      <c r="J9" s="45">
        <f>'Revenue data sheet'!G7</f>
        <v>200</v>
      </c>
      <c r="K9" s="46">
        <f>IF(J10=0,0,(J9*'Revenue data sheet'!G$5))</f>
        <v>0</v>
      </c>
      <c r="L9" s="68">
        <f>I8</f>
        <v>0.1</v>
      </c>
      <c r="M9" s="45">
        <f t="shared" si="0"/>
        <v>180</v>
      </c>
      <c r="N9" s="46">
        <f>IF(M10=0,0,(M9*'Revenue data sheet'!H$5))</f>
        <v>18000</v>
      </c>
      <c r="O9" s="68">
        <f>L8</f>
        <v>0.1</v>
      </c>
      <c r="P9" s="45">
        <f t="shared" si="1"/>
        <v>162</v>
      </c>
      <c r="Q9" s="46">
        <f>IF(P10=0,0,(P9*'Revenue data sheet'!I$5))</f>
        <v>16200</v>
      </c>
      <c r="R9" s="68">
        <f>O8</f>
        <v>0.15</v>
      </c>
      <c r="S9" s="45">
        <f t="shared" si="2"/>
        <v>137.69999999999999</v>
      </c>
      <c r="T9" s="46">
        <f>IF(S10=0,0,(S9*'Revenue data sheet'!J$5))</f>
        <v>13769.999999999998</v>
      </c>
      <c r="U9" s="68">
        <f>R8</f>
        <v>0.15</v>
      </c>
      <c r="V9" s="9"/>
      <c r="W9" s="7">
        <f t="shared" si="3"/>
        <v>34200</v>
      </c>
    </row>
    <row r="10" spans="1:23" ht="18" customHeight="1">
      <c r="A10" s="37"/>
      <c r="B10" s="23"/>
      <c r="C10" s="29" t="s">
        <v>10</v>
      </c>
      <c r="D10" s="42"/>
      <c r="E10" s="43"/>
      <c r="F10" s="67"/>
      <c r="G10" s="42"/>
      <c r="H10" s="43"/>
      <c r="I10" s="67"/>
      <c r="J10" s="42"/>
      <c r="K10" s="43"/>
      <c r="L10" s="67"/>
      <c r="M10" s="45">
        <f>'Revenue data sheet'!H7</f>
        <v>200</v>
      </c>
      <c r="N10" s="46">
        <f>IF(M11=0,0,(M10*'Revenue data sheet'!H$5))</f>
        <v>0</v>
      </c>
      <c r="O10" s="68">
        <f>L9</f>
        <v>0.1</v>
      </c>
      <c r="P10" s="45">
        <f t="shared" si="1"/>
        <v>180</v>
      </c>
      <c r="Q10" s="46">
        <f>IF(P11=0,0,(P10*'Revenue data sheet'!I$5))</f>
        <v>18000</v>
      </c>
      <c r="R10" s="68">
        <f>O9</f>
        <v>0.1</v>
      </c>
      <c r="S10" s="45">
        <f t="shared" si="2"/>
        <v>162</v>
      </c>
      <c r="T10" s="46">
        <f>IF(S11=0,0,(S10*'Revenue data sheet'!J$5))</f>
        <v>16200</v>
      </c>
      <c r="U10" s="68">
        <f>R9</f>
        <v>0.15</v>
      </c>
      <c r="V10" s="9"/>
      <c r="W10" s="7">
        <f t="shared" si="3"/>
        <v>18000</v>
      </c>
    </row>
    <row r="11" spans="1:23" ht="18" customHeight="1">
      <c r="A11" s="38"/>
      <c r="B11" s="31"/>
      <c r="C11" s="29" t="s">
        <v>52</v>
      </c>
      <c r="D11" s="42"/>
      <c r="E11" s="43"/>
      <c r="F11" s="67"/>
      <c r="G11" s="42"/>
      <c r="H11" s="43"/>
      <c r="I11" s="67"/>
      <c r="J11" s="42"/>
      <c r="K11" s="43"/>
      <c r="L11" s="67"/>
      <c r="M11" s="42"/>
      <c r="N11" s="43"/>
      <c r="O11" s="67"/>
      <c r="P11" s="45">
        <f>'Revenue data sheet'!I7</f>
        <v>200</v>
      </c>
      <c r="Q11" s="46">
        <f>IF(P13=0,0,(P11*'Revenue data sheet'!I$5))</f>
        <v>0</v>
      </c>
      <c r="R11" s="68">
        <f>O10</f>
        <v>0.1</v>
      </c>
      <c r="S11" s="45">
        <f t="shared" si="2"/>
        <v>180</v>
      </c>
      <c r="T11" s="46">
        <f>IF(S12=0,0,(S11*'Revenue data sheet'!J$5))</f>
        <v>18000</v>
      </c>
      <c r="U11" s="68">
        <f>R10</f>
        <v>0.1</v>
      </c>
      <c r="V11" s="8"/>
      <c r="W11" s="7">
        <f t="shared" si="3"/>
        <v>0</v>
      </c>
    </row>
    <row r="12" spans="1:23" ht="18" customHeight="1">
      <c r="A12" s="38"/>
      <c r="B12" s="31"/>
      <c r="C12" s="29"/>
      <c r="D12" s="42"/>
      <c r="E12" s="43"/>
      <c r="F12" s="67"/>
      <c r="G12" s="42"/>
      <c r="H12" s="43"/>
      <c r="I12" s="67"/>
      <c r="J12" s="42"/>
      <c r="K12" s="43"/>
      <c r="L12" s="67"/>
      <c r="M12" s="42"/>
      <c r="N12" s="43"/>
      <c r="O12" s="67"/>
      <c r="P12" s="45"/>
      <c r="Q12" s="46"/>
      <c r="R12" s="68"/>
      <c r="S12" s="45">
        <f>'Revenue data sheet'!J7</f>
        <v>200</v>
      </c>
      <c r="T12" s="46">
        <f>IF(S13=0,0,(S12*'Revenue data sheet'!J$5))</f>
        <v>0</v>
      </c>
      <c r="U12" s="68">
        <f>R11</f>
        <v>0.1</v>
      </c>
      <c r="V12" s="8"/>
      <c r="W12" s="7"/>
    </row>
    <row r="13" spans="1:23" ht="18" customHeight="1">
      <c r="A13" s="38"/>
      <c r="B13" s="31"/>
      <c r="C13" s="32"/>
      <c r="D13" s="42"/>
      <c r="E13" s="43"/>
      <c r="F13" s="67"/>
      <c r="G13" s="42"/>
      <c r="H13" s="43"/>
      <c r="I13" s="67"/>
      <c r="J13" s="42"/>
      <c r="K13" s="43"/>
      <c r="L13" s="67"/>
      <c r="M13" s="42"/>
      <c r="N13" s="43"/>
      <c r="O13" s="67"/>
      <c r="P13" s="42"/>
      <c r="Q13" s="43"/>
      <c r="R13" s="67"/>
      <c r="S13" s="42"/>
      <c r="T13" s="43"/>
      <c r="U13" s="67"/>
      <c r="V13" s="60"/>
      <c r="W13" s="11"/>
    </row>
    <row r="14" spans="1:23" ht="18" customHeight="1">
      <c r="A14" s="30"/>
      <c r="B14" s="31"/>
      <c r="C14" s="32" t="s">
        <v>38</v>
      </c>
      <c r="D14" s="48">
        <f>SUM(D7:D11)</f>
        <v>100</v>
      </c>
      <c r="E14" s="57">
        <f>SUM(E7:E11)</f>
        <v>0</v>
      </c>
      <c r="F14" s="67"/>
      <c r="G14" s="48">
        <f>SUM(G7:G11)</f>
        <v>190</v>
      </c>
      <c r="H14" s="57">
        <f>SUM(H7:H11)</f>
        <v>9000</v>
      </c>
      <c r="I14" s="67"/>
      <c r="J14" s="48">
        <f>SUM(J7:J11)</f>
        <v>371</v>
      </c>
      <c r="K14" s="57">
        <f>SUM(K7:K11)</f>
        <v>17100</v>
      </c>
      <c r="L14" s="67"/>
      <c r="M14" s="48">
        <f>SUM(M7:M11)</f>
        <v>529.85</v>
      </c>
      <c r="N14" s="57">
        <f>SUM(N7:N11)</f>
        <v>32985</v>
      </c>
      <c r="O14" s="67"/>
      <c r="P14" s="48">
        <f>SUM(P7:P13)</f>
        <v>669.37249999999995</v>
      </c>
      <c r="Q14" s="83">
        <f>SUM(Q7:Q13)</f>
        <v>46937.25</v>
      </c>
      <c r="R14" s="67"/>
      <c r="S14" s="48">
        <f>SUM(S7:S13)</f>
        <v>787.96662500000002</v>
      </c>
      <c r="T14" s="83">
        <f>SUM(T7:T13)</f>
        <v>58796.662499999999</v>
      </c>
      <c r="U14" s="365"/>
      <c r="V14" s="8"/>
      <c r="W14" s="53">
        <f>SUM(W7:W11)</f>
        <v>106022.25</v>
      </c>
    </row>
    <row r="15" spans="1:23" ht="18" customHeight="1">
      <c r="A15" s="28"/>
      <c r="B15" s="23"/>
      <c r="C15" s="35"/>
      <c r="D15" s="42"/>
      <c r="E15" s="43"/>
      <c r="F15" s="67"/>
      <c r="G15" s="42"/>
      <c r="H15" s="43"/>
      <c r="I15" s="67"/>
      <c r="J15" s="42"/>
      <c r="K15" s="43"/>
      <c r="L15" s="67"/>
      <c r="M15" s="48"/>
      <c r="N15" s="57"/>
      <c r="O15" s="67"/>
      <c r="P15" s="48"/>
      <c r="Q15" s="83"/>
      <c r="R15" s="67"/>
      <c r="S15" s="366"/>
      <c r="T15" s="366"/>
      <c r="U15" s="366"/>
      <c r="V15" s="9"/>
      <c r="W15" s="54"/>
    </row>
    <row r="16" spans="1:23" ht="18" customHeight="1">
      <c r="A16" s="25" t="s">
        <v>11</v>
      </c>
      <c r="B16" s="66">
        <f>'Revenue data sheet'!E9</f>
        <v>12</v>
      </c>
      <c r="C16" s="34" t="s">
        <v>21</v>
      </c>
      <c r="D16" s="45">
        <f>'Revenue data sheet'!E11</f>
        <v>400</v>
      </c>
      <c r="E16" s="46">
        <f>D16*('Revenue data sheet'!E5+'Revenue data sheet'!E13)</f>
        <v>0</v>
      </c>
      <c r="F16" s="69">
        <f>'Revenue data sheet'!E46</f>
        <v>0.05</v>
      </c>
      <c r="G16" s="45">
        <f>D16*(1-F16)+'Revenue data sheet'!F11</f>
        <v>380</v>
      </c>
      <c r="H16" s="46">
        <f>G16*('Revenue data sheet'!F5+'Revenue data sheet'!F13)</f>
        <v>0</v>
      </c>
      <c r="I16" s="69">
        <f>'Revenue data sheet'!F46</f>
        <v>0.05</v>
      </c>
      <c r="J16" s="45">
        <f>G16*(1-I16)+'Revenue data sheet'!G11</f>
        <v>361</v>
      </c>
      <c r="K16" s="46">
        <f>J16*('Revenue data sheet'!G5+'Revenue data sheet'!G13)</f>
        <v>0</v>
      </c>
      <c r="L16" s="69">
        <f>'Revenue data sheet'!H46</f>
        <v>0.05</v>
      </c>
      <c r="M16" s="45">
        <f>J16*(1-L16)+'Revenue data sheet'!H11</f>
        <v>342.95</v>
      </c>
      <c r="N16" s="46">
        <f>M16*('Revenue data sheet'!H5+'Revenue data sheet'!H13)</f>
        <v>0</v>
      </c>
      <c r="O16" s="69">
        <f>'Revenue data sheet'!H46</f>
        <v>0.05</v>
      </c>
      <c r="P16" s="45">
        <f>M16*(1-O16)</f>
        <v>325.80249999999995</v>
      </c>
      <c r="Q16" s="46">
        <f>P16*('Revenue data sheet'!I5+'Revenue data sheet'!I13)</f>
        <v>0</v>
      </c>
      <c r="R16" s="69">
        <f>'Revenue data sheet'!I46</f>
        <v>0.05</v>
      </c>
      <c r="S16" s="45">
        <f>P16*(1-R16)</f>
        <v>309.51237499999996</v>
      </c>
      <c r="T16" s="46">
        <f>S16*('Revenue data sheet'!J5+'Revenue data sheet'!J13)</f>
        <v>0</v>
      </c>
      <c r="U16" s="69">
        <f>'Revenue data sheet'!J46</f>
        <v>0.05</v>
      </c>
      <c r="V16" s="9"/>
      <c r="W16" s="7">
        <f t="shared" ref="W16:W21" si="4">E16+H16+K16+N16+Q16</f>
        <v>0</v>
      </c>
    </row>
    <row r="17" spans="1:23" ht="18" customHeight="1">
      <c r="A17" s="37"/>
      <c r="B17" s="23"/>
      <c r="C17" s="29" t="s">
        <v>27</v>
      </c>
      <c r="D17" s="45">
        <f>D16*$B$16</f>
        <v>4800</v>
      </c>
      <c r="E17" s="46">
        <f>IF(D18=0,0,(D17*'Revenue data sheet'!E$5))</f>
        <v>0</v>
      </c>
      <c r="F17" s="69">
        <f>'Revenue data sheet'!$E$46</f>
        <v>0.05</v>
      </c>
      <c r="G17" s="45">
        <f>D17*(1-F17)</f>
        <v>4560</v>
      </c>
      <c r="H17" s="46">
        <f>IF(G18=0,0,(G17*'Revenue data sheet'!F$5))</f>
        <v>456000</v>
      </c>
      <c r="I17" s="69">
        <f>F16</f>
        <v>0.05</v>
      </c>
      <c r="J17" s="45">
        <f>G17*(1-I17)</f>
        <v>4332</v>
      </c>
      <c r="K17" s="46">
        <f>IF(J18=0,0,(J17*'Revenue data sheet'!G$5))</f>
        <v>433200</v>
      </c>
      <c r="L17" s="69">
        <f>I16</f>
        <v>0.05</v>
      </c>
      <c r="M17" s="45">
        <f>J17*(1-L17)</f>
        <v>4115.3999999999996</v>
      </c>
      <c r="N17" s="46">
        <f>IF(M18=0,0,(M17*'Revenue data sheet'!H$5))</f>
        <v>411539.99999999994</v>
      </c>
      <c r="O17" s="69">
        <f>L16</f>
        <v>0.05</v>
      </c>
      <c r="P17" s="45">
        <f>M17*(1-O17)</f>
        <v>3909.6299999999997</v>
      </c>
      <c r="Q17" s="46">
        <f>IF(P18=0,0,(P17*'Revenue data sheet'!I$5))</f>
        <v>390962.99999999994</v>
      </c>
      <c r="R17" s="69">
        <f>O16</f>
        <v>0.05</v>
      </c>
      <c r="S17" s="45">
        <f t="shared" ref="S17:S21" si="5">P17*(1-R17)</f>
        <v>3714.1484999999993</v>
      </c>
      <c r="T17" s="46">
        <f>IF(S18=0,0,(S17*'Revenue data sheet'!J$5))</f>
        <v>371414.84999999992</v>
      </c>
      <c r="U17" s="69">
        <f t="shared" ref="U17:U22" si="6">R16</f>
        <v>0.05</v>
      </c>
      <c r="V17" s="9"/>
      <c r="W17" s="7">
        <f t="shared" si="4"/>
        <v>1691703</v>
      </c>
    </row>
    <row r="18" spans="1:23" ht="18" customHeight="1">
      <c r="A18" s="37"/>
      <c r="B18" s="23"/>
      <c r="C18" s="29" t="s">
        <v>28</v>
      </c>
      <c r="D18" s="42"/>
      <c r="E18" s="43"/>
      <c r="F18" s="67"/>
      <c r="G18" s="45">
        <f>G16*$B$16</f>
        <v>4560</v>
      </c>
      <c r="H18" s="46">
        <f>IF(G19=0,0,(G18*'Revenue data sheet'!F$5))</f>
        <v>0</v>
      </c>
      <c r="I18" s="69">
        <f>F17</f>
        <v>0.05</v>
      </c>
      <c r="J18" s="45">
        <f>G18*(1-I18)</f>
        <v>4332</v>
      </c>
      <c r="K18" s="46">
        <f>IF(J19=0,0,(J18*'Revenue data sheet'!G$5))</f>
        <v>433200</v>
      </c>
      <c r="L18" s="69">
        <f>I17</f>
        <v>0.05</v>
      </c>
      <c r="M18" s="45">
        <f>J18*(1-L18)</f>
        <v>4115.3999999999996</v>
      </c>
      <c r="N18" s="46">
        <f>IF(M19=0,0,(M18*'Revenue data sheet'!H$5))</f>
        <v>411539.99999999994</v>
      </c>
      <c r="O18" s="69">
        <f>L17</f>
        <v>0.05</v>
      </c>
      <c r="P18" s="45">
        <f>M18*(1-O18)</f>
        <v>3909.6299999999997</v>
      </c>
      <c r="Q18" s="46">
        <f>IF(P19=0,0,(P18*'Revenue data sheet'!I$5))</f>
        <v>390962.99999999994</v>
      </c>
      <c r="R18" s="69">
        <f>O17</f>
        <v>0.05</v>
      </c>
      <c r="S18" s="45">
        <f t="shared" si="5"/>
        <v>3714.1484999999993</v>
      </c>
      <c r="T18" s="46">
        <f>IF(S19=0,0,(S18*'Revenue data sheet'!J$5))</f>
        <v>371414.84999999992</v>
      </c>
      <c r="U18" s="69">
        <f t="shared" si="6"/>
        <v>0.05</v>
      </c>
      <c r="V18" s="9"/>
      <c r="W18" s="7">
        <f t="shared" si="4"/>
        <v>1235703</v>
      </c>
    </row>
    <row r="19" spans="1:23" ht="18" customHeight="1">
      <c r="A19" s="37"/>
      <c r="B19" s="23"/>
      <c r="C19" s="29" t="s">
        <v>29</v>
      </c>
      <c r="D19" s="42"/>
      <c r="E19" s="43"/>
      <c r="F19" s="67"/>
      <c r="G19" s="42"/>
      <c r="H19" s="43"/>
      <c r="I19" s="67"/>
      <c r="J19" s="45">
        <f>J16*$B$16</f>
        <v>4332</v>
      </c>
      <c r="K19" s="46">
        <f>IF(J20=0,0,(J19*'Revenue data sheet'!G$5))</f>
        <v>0</v>
      </c>
      <c r="L19" s="69">
        <f>I18</f>
        <v>0.05</v>
      </c>
      <c r="M19" s="45">
        <f>J19*(1-L19)</f>
        <v>4115.3999999999996</v>
      </c>
      <c r="N19" s="46">
        <f>IF(M20=0,0,(M19*'Revenue data sheet'!H$5))</f>
        <v>411539.99999999994</v>
      </c>
      <c r="O19" s="69">
        <f>L18</f>
        <v>0.05</v>
      </c>
      <c r="P19" s="45">
        <f>M19*(1-O19)</f>
        <v>3909.6299999999997</v>
      </c>
      <c r="Q19" s="46">
        <f>IF(P20=0,0,(P19*'Revenue data sheet'!I$5))</f>
        <v>390962.99999999994</v>
      </c>
      <c r="R19" s="69">
        <f>O18</f>
        <v>0.05</v>
      </c>
      <c r="S19" s="45">
        <f t="shared" si="5"/>
        <v>3714.1484999999993</v>
      </c>
      <c r="T19" s="46">
        <f>IF(S20=0,0,(S19*'Revenue data sheet'!J$5))</f>
        <v>371414.84999999992</v>
      </c>
      <c r="U19" s="69">
        <f t="shared" si="6"/>
        <v>0.05</v>
      </c>
      <c r="V19" s="9"/>
      <c r="W19" s="7">
        <f t="shared" si="4"/>
        <v>802502.99999999988</v>
      </c>
    </row>
    <row r="20" spans="1:23" ht="18" customHeight="1">
      <c r="A20" s="37"/>
      <c r="B20" s="23"/>
      <c r="C20" s="29" t="s">
        <v>30</v>
      </c>
      <c r="D20" s="42"/>
      <c r="E20" s="43"/>
      <c r="F20" s="67"/>
      <c r="G20" s="42"/>
      <c r="H20" s="43"/>
      <c r="I20" s="67"/>
      <c r="J20" s="42"/>
      <c r="K20" s="43"/>
      <c r="L20" s="70"/>
      <c r="M20" s="45">
        <f>M16*$B$16</f>
        <v>4115.3999999999996</v>
      </c>
      <c r="N20" s="46">
        <f>IF(M21=0,0,(M20*'Revenue data sheet'!H$5))</f>
        <v>0</v>
      </c>
      <c r="O20" s="69">
        <f>L19</f>
        <v>0.05</v>
      </c>
      <c r="P20" s="45">
        <f>M20*(1-O20)</f>
        <v>3909.6299999999997</v>
      </c>
      <c r="Q20" s="46">
        <f>IF(P21=0,0,(P20*'Revenue data sheet'!I$5))</f>
        <v>390962.99999999994</v>
      </c>
      <c r="R20" s="69">
        <f>O19</f>
        <v>0.05</v>
      </c>
      <c r="S20" s="45">
        <f t="shared" si="5"/>
        <v>3714.1484999999993</v>
      </c>
      <c r="T20" s="46">
        <f>IF(S21=0,0,(S20*'Revenue data sheet'!J$5))</f>
        <v>371414.84999999992</v>
      </c>
      <c r="U20" s="69">
        <f t="shared" si="6"/>
        <v>0.05</v>
      </c>
      <c r="V20" s="9"/>
      <c r="W20" s="7">
        <f t="shared" si="4"/>
        <v>390962.99999999994</v>
      </c>
    </row>
    <row r="21" spans="1:23" ht="18" customHeight="1">
      <c r="A21" s="37"/>
      <c r="B21" s="23"/>
      <c r="C21" s="29" t="s">
        <v>53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5">
        <f>P16*$B$16</f>
        <v>3909.6299999999992</v>
      </c>
      <c r="Q21" s="46">
        <f>IF(P23=0,0,(P21*'Revenue data sheet'!I$5))</f>
        <v>0</v>
      </c>
      <c r="R21" s="69">
        <f>O20</f>
        <v>0.05</v>
      </c>
      <c r="S21" s="45">
        <f t="shared" si="5"/>
        <v>3714.1484999999989</v>
      </c>
      <c r="T21" s="46">
        <f>IF(S22=0,0,(S21*'Revenue data sheet'!J$5))</f>
        <v>371414.84999999986</v>
      </c>
      <c r="U21" s="69">
        <f t="shared" si="6"/>
        <v>0.05</v>
      </c>
      <c r="V21" s="84"/>
      <c r="W21" s="7">
        <f t="shared" si="4"/>
        <v>0</v>
      </c>
    </row>
    <row r="22" spans="1:23" ht="18" customHeight="1">
      <c r="A22" s="37"/>
      <c r="B22" s="23"/>
      <c r="C22" s="29" t="s">
        <v>260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5"/>
      <c r="Q22" s="46"/>
      <c r="R22" s="69"/>
      <c r="S22" s="45">
        <f>S16*$B$16</f>
        <v>3714.1484999999993</v>
      </c>
      <c r="T22" s="46">
        <f>IF(S23=0,0,(S22*'Revenue data sheet'!J$5))</f>
        <v>0</v>
      </c>
      <c r="U22" s="69">
        <f t="shared" si="6"/>
        <v>0.05</v>
      </c>
      <c r="V22" s="84"/>
      <c r="W22" s="7"/>
    </row>
    <row r="23" spans="1:23" ht="18" customHeight="1">
      <c r="A23" s="37"/>
      <c r="B23" s="31"/>
      <c r="C23" s="58"/>
      <c r="D23" s="42"/>
      <c r="E23" s="43"/>
      <c r="F23" s="67"/>
      <c r="G23" s="42"/>
      <c r="H23" s="43"/>
      <c r="I23" s="67"/>
      <c r="J23" s="42"/>
      <c r="K23" s="43"/>
      <c r="L23" s="70"/>
      <c r="M23" s="42"/>
      <c r="N23" s="42"/>
      <c r="O23" s="70"/>
      <c r="P23" s="42"/>
      <c r="Q23" s="42"/>
      <c r="R23" s="70"/>
      <c r="S23" s="367"/>
      <c r="T23" s="367"/>
      <c r="U23" s="367"/>
      <c r="V23" s="9"/>
      <c r="W23" s="10"/>
    </row>
    <row r="24" spans="1:23" ht="18" customHeight="1">
      <c r="A24" s="56"/>
      <c r="B24" s="31"/>
      <c r="C24" s="35" t="s">
        <v>11</v>
      </c>
      <c r="D24" s="48">
        <f>SUM(D17:D21)</f>
        <v>4800</v>
      </c>
      <c r="E24" s="57">
        <f>SUM(E17:E21)</f>
        <v>0</v>
      </c>
      <c r="F24" s="67"/>
      <c r="G24" s="48">
        <f>SUM(G17:G21)</f>
        <v>9120</v>
      </c>
      <c r="H24" s="57">
        <f>SUM(H17:H21)</f>
        <v>456000</v>
      </c>
      <c r="I24" s="67"/>
      <c r="J24" s="48">
        <f>SUM(J17:J21)</f>
        <v>12996</v>
      </c>
      <c r="K24" s="57">
        <f>SUM(K17:K21)</f>
        <v>866400</v>
      </c>
      <c r="L24" s="70"/>
      <c r="M24" s="48">
        <f>SUM(M17:M20)</f>
        <v>16461.599999999999</v>
      </c>
      <c r="N24" s="83">
        <f>SUM(N17:N20)</f>
        <v>1234619.9999999998</v>
      </c>
      <c r="O24" s="70"/>
      <c r="P24" s="48">
        <f>SUM(P16:P23)</f>
        <v>19873.952499999999</v>
      </c>
      <c r="Q24" s="83">
        <f>SUM(Q16:Q23)</f>
        <v>1563851.9999999998</v>
      </c>
      <c r="R24" s="70"/>
      <c r="S24" s="48">
        <f>SUM(S16:S23)</f>
        <v>22594.403374999994</v>
      </c>
      <c r="T24" s="83">
        <f>SUM(T16:T23)</f>
        <v>1857074.2499999995</v>
      </c>
      <c r="U24" s="368"/>
      <c r="V24" s="60"/>
      <c r="W24" s="82">
        <f>SUM(W16:W23)</f>
        <v>4120872</v>
      </c>
    </row>
    <row r="25" spans="1:23" ht="18" customHeight="1">
      <c r="A25" s="25" t="s">
        <v>19</v>
      </c>
      <c r="B25" s="66">
        <f>'Revenue data sheet'!$E$17</f>
        <v>4</v>
      </c>
      <c r="C25" s="34" t="s">
        <v>68</v>
      </c>
      <c r="D25" s="61"/>
      <c r="E25" s="43"/>
      <c r="F25" s="67"/>
      <c r="G25" s="42"/>
      <c r="H25" s="43"/>
      <c r="I25" s="67"/>
      <c r="J25" s="42"/>
      <c r="K25" s="43"/>
      <c r="L25" s="67"/>
      <c r="M25" s="42"/>
      <c r="N25" s="43"/>
      <c r="O25" s="67"/>
      <c r="P25" s="42"/>
      <c r="Q25" s="43"/>
      <c r="R25" s="67"/>
      <c r="S25" s="363"/>
      <c r="T25" s="363"/>
      <c r="U25" s="363"/>
      <c r="V25" s="13"/>
      <c r="W25" s="12"/>
    </row>
    <row r="26" spans="1:23" ht="18" customHeight="1">
      <c r="A26" s="37"/>
      <c r="B26" s="23"/>
      <c r="C26" s="63" t="s">
        <v>23</v>
      </c>
      <c r="D26" s="79">
        <f>'Revenue data sheet'!E19</f>
        <v>5000</v>
      </c>
      <c r="E26" s="46">
        <f>IF(D27=0,0,(D26*'Revenue data sheet'!$E$5))</f>
        <v>0</v>
      </c>
      <c r="F26" s="69">
        <f>'Revenue data sheet'!$E$50</f>
        <v>0.1</v>
      </c>
      <c r="G26" s="45">
        <f>(D26*(1-F26)*'Revenue data sheet'!$E$17)</f>
        <v>18000</v>
      </c>
      <c r="H26" s="46">
        <f>(G26-D26)*'Revenue data sheet'!F$5</f>
        <v>1300000</v>
      </c>
      <c r="I26" s="69">
        <f>'Revenue data sheet'!$F$50</f>
        <v>0.1</v>
      </c>
      <c r="J26" s="45">
        <f>(G26*(1-I26)*'Revenue data sheet'!F17)</f>
        <v>16200</v>
      </c>
      <c r="K26" s="46">
        <f>J26*'Revenue data sheet'!G$5</f>
        <v>1620000</v>
      </c>
      <c r="L26" s="69">
        <f>'Revenue data sheet'!$G$50</f>
        <v>0.15</v>
      </c>
      <c r="M26" s="45">
        <f>(J26*(1-L26)*'Revenue data sheet'!G17)</f>
        <v>13770</v>
      </c>
      <c r="N26" s="46">
        <f>M26*'Revenue data sheet'!H$5</f>
        <v>1377000</v>
      </c>
      <c r="O26" s="69">
        <f>'Revenue data sheet'!H$50</f>
        <v>0.15</v>
      </c>
      <c r="P26" s="45">
        <f>(M26*(1-O26)*'Revenue data sheet'!H$17)</f>
        <v>11704.5</v>
      </c>
      <c r="Q26" s="46">
        <f>P26*'Revenue data sheet'!I$5</f>
        <v>1170450</v>
      </c>
      <c r="R26" s="69">
        <f>'Revenue data sheet'!I$50</f>
        <v>0.15</v>
      </c>
      <c r="S26" s="45">
        <f>(P26*(1-R26)*'Revenue data sheet'!J$17)</f>
        <v>9948.8249999999989</v>
      </c>
      <c r="T26" s="46">
        <f>S26*'Revenue data sheet'!J$5</f>
        <v>994882.49999999988</v>
      </c>
      <c r="U26" s="69">
        <f>'Revenue data sheet'!J$50</f>
        <v>0.15</v>
      </c>
      <c r="V26" s="9"/>
      <c r="W26" s="7">
        <f t="shared" ref="W26:W30" si="7">E26+H26+K26+N26+Q26</f>
        <v>5467450</v>
      </c>
    </row>
    <row r="27" spans="1:23" ht="18" customHeight="1">
      <c r="A27" s="37"/>
      <c r="B27" s="23"/>
      <c r="C27" s="63" t="s">
        <v>24</v>
      </c>
      <c r="D27" s="61"/>
      <c r="E27" s="43"/>
      <c r="F27" s="67"/>
      <c r="G27" s="45">
        <f>'Revenue data sheet'!F19</f>
        <v>10000</v>
      </c>
      <c r="H27" s="46">
        <f>IF(G28=0,0,(G27*'Revenue data sheet'!$E$5))</f>
        <v>0</v>
      </c>
      <c r="I27" s="69">
        <f>'Revenue data sheet'!$E$50</f>
        <v>0.1</v>
      </c>
      <c r="J27" s="45">
        <f>(G27*(1-I27)*'Revenue data sheet'!$E$17)</f>
        <v>36000</v>
      </c>
      <c r="K27" s="46">
        <f>(J27-G27)*'Revenue data sheet'!G5</f>
        <v>2600000</v>
      </c>
      <c r="L27" s="69">
        <f>'Revenue data sheet'!$F$50</f>
        <v>0.1</v>
      </c>
      <c r="M27" s="45">
        <f>((J27*(1-L27))*'Revenue data sheet'!G17)</f>
        <v>32400</v>
      </c>
      <c r="N27" s="46">
        <f>M27*'Revenue data sheet'!H$5</f>
        <v>3240000</v>
      </c>
      <c r="O27" s="69">
        <f>'Revenue data sheet'!$G$50</f>
        <v>0.15</v>
      </c>
      <c r="P27" s="45">
        <f>(M27*(1-O27)*'Revenue data sheet'!H$17)</f>
        <v>27540</v>
      </c>
      <c r="Q27" s="46">
        <f>P27*'Revenue data sheet'!I$5</f>
        <v>2754000</v>
      </c>
      <c r="R27" s="69">
        <f>'Revenue data sheet'!I$50</f>
        <v>0.15</v>
      </c>
      <c r="S27" s="45">
        <f>(P27*(1-R27)*'Revenue data sheet'!J$17)</f>
        <v>23409</v>
      </c>
      <c r="T27" s="46">
        <f>S27*'Revenue data sheet'!J$5</f>
        <v>2340900</v>
      </c>
      <c r="U27" s="69">
        <f>'Revenue data sheet'!J$50</f>
        <v>0.15</v>
      </c>
      <c r="V27" s="9"/>
      <c r="W27" s="7">
        <f t="shared" si="7"/>
        <v>8594000</v>
      </c>
    </row>
    <row r="28" spans="1:23" ht="18" customHeight="1">
      <c r="A28" s="37"/>
      <c r="B28" s="23"/>
      <c r="C28" s="63" t="s">
        <v>25</v>
      </c>
      <c r="D28" s="61"/>
      <c r="E28" s="43"/>
      <c r="F28" s="67"/>
      <c r="G28" s="42"/>
      <c r="H28" s="43"/>
      <c r="I28" s="67"/>
      <c r="J28" s="45">
        <f>'Revenue data sheet'!G19</f>
        <v>20000</v>
      </c>
      <c r="K28" s="46">
        <f>IF(J29=0,0,(J28*'Revenue data sheet'!$E$5))</f>
        <v>0</v>
      </c>
      <c r="L28" s="69">
        <f>'Revenue data sheet'!$E$50</f>
        <v>0.1</v>
      </c>
      <c r="M28" s="45">
        <f>(J28*(1-L28)*'Revenue data sheet'!$E$17)</f>
        <v>72000</v>
      </c>
      <c r="N28" s="46">
        <f>(M28-J28)*'Revenue data sheet'!H$5</f>
        <v>5200000</v>
      </c>
      <c r="O28" s="69">
        <f>'Revenue data sheet'!$F$50</f>
        <v>0.1</v>
      </c>
      <c r="P28" s="45">
        <f>(M28*(1-O28)*'Revenue data sheet'!H$17)</f>
        <v>64800</v>
      </c>
      <c r="Q28" s="46">
        <f>P28*'Revenue data sheet'!I$5</f>
        <v>6480000</v>
      </c>
      <c r="R28" s="69">
        <f>'Revenue data sheet'!I$50</f>
        <v>0.15</v>
      </c>
      <c r="S28" s="45">
        <f>(P28*(1-R28)*'Revenue data sheet'!J$17)</f>
        <v>55080</v>
      </c>
      <c r="T28" s="46">
        <f>S28*'Revenue data sheet'!J$5</f>
        <v>5508000</v>
      </c>
      <c r="U28" s="69">
        <f>'Revenue data sheet'!J$50</f>
        <v>0.15</v>
      </c>
      <c r="V28" s="9"/>
      <c r="W28" s="7">
        <f t="shared" si="7"/>
        <v>11680000</v>
      </c>
    </row>
    <row r="29" spans="1:23" ht="18" customHeight="1">
      <c r="A29" s="55"/>
      <c r="B29" s="23"/>
      <c r="C29" s="63" t="s">
        <v>26</v>
      </c>
      <c r="D29" s="61"/>
      <c r="E29" s="43"/>
      <c r="F29" s="67"/>
      <c r="G29" s="42"/>
      <c r="H29" s="43"/>
      <c r="I29" s="67"/>
      <c r="J29" s="42"/>
      <c r="K29" s="43"/>
      <c r="L29" s="67"/>
      <c r="M29" s="45">
        <f>'Revenue data sheet'!H19</f>
        <v>40000</v>
      </c>
      <c r="N29" s="46">
        <f>IF(M30=0,0,(M29*'Revenue data sheet'!$E$5))</f>
        <v>0</v>
      </c>
      <c r="O29" s="69">
        <f>'Revenue data sheet'!$E$50</f>
        <v>0.1</v>
      </c>
      <c r="P29" s="45">
        <f>(M29*(1-O29)*'Revenue data sheet'!$E$17)</f>
        <v>144000</v>
      </c>
      <c r="Q29" s="46">
        <f>(P29-M29)*'Revenue data sheet'!I$5</f>
        <v>10400000</v>
      </c>
      <c r="R29" s="69">
        <f>'Revenue data sheet'!I$50</f>
        <v>0.15</v>
      </c>
      <c r="S29" s="45">
        <f>(P29*(1-R29)*'Revenue data sheet'!J$17)</f>
        <v>122400</v>
      </c>
      <c r="T29" s="46">
        <f>S29*'Revenue data sheet'!J$5</f>
        <v>12240000</v>
      </c>
      <c r="U29" s="69">
        <f>'Revenue data sheet'!J$50</f>
        <v>0.15</v>
      </c>
      <c r="V29" s="8"/>
      <c r="W29" s="7">
        <f t="shared" si="7"/>
        <v>10400000</v>
      </c>
    </row>
    <row r="30" spans="1:23" ht="18" customHeight="1">
      <c r="A30" s="55"/>
      <c r="B30" s="23"/>
      <c r="C30" s="63" t="s">
        <v>56</v>
      </c>
      <c r="D30" s="61"/>
      <c r="E30" s="43"/>
      <c r="F30" s="67"/>
      <c r="G30" s="42"/>
      <c r="H30" s="43"/>
      <c r="I30" s="67"/>
      <c r="J30" s="42"/>
      <c r="K30" s="43"/>
      <c r="L30" s="67"/>
      <c r="M30" s="42"/>
      <c r="N30" s="43"/>
      <c r="O30" s="67"/>
      <c r="P30" s="45">
        <f>'Revenue data sheet'!I19</f>
        <v>80000</v>
      </c>
      <c r="Q30" s="46">
        <f>IF(P31=0,0,(P30*'Revenue data sheet'!$E$5))</f>
        <v>0</v>
      </c>
      <c r="R30" s="69">
        <f>'Revenue data sheet'!I$50</f>
        <v>0.15</v>
      </c>
      <c r="S30" s="45">
        <f>(P30*(1-R30)*'Revenue data sheet'!$E$17)</f>
        <v>272000</v>
      </c>
      <c r="T30" s="46">
        <f>(S30-P30)*'Revenue data sheet'!J$5</f>
        <v>19200000</v>
      </c>
      <c r="U30" s="69">
        <f>'Revenue data sheet'!J$50</f>
        <v>0.15</v>
      </c>
      <c r="V30" s="13"/>
      <c r="W30" s="7">
        <f t="shared" si="7"/>
        <v>0</v>
      </c>
    </row>
    <row r="31" spans="1:23" ht="18" customHeight="1">
      <c r="A31" s="55"/>
      <c r="B31" s="23"/>
      <c r="C31" s="63" t="s">
        <v>261</v>
      </c>
      <c r="D31" s="61"/>
      <c r="E31" s="43"/>
      <c r="F31" s="67"/>
      <c r="G31" s="42"/>
      <c r="H31" s="43"/>
      <c r="I31" s="67"/>
      <c r="J31" s="42"/>
      <c r="K31" s="43"/>
      <c r="L31" s="67"/>
      <c r="M31" s="42"/>
      <c r="N31" s="43"/>
      <c r="O31" s="67"/>
      <c r="P31" s="45"/>
      <c r="Q31" s="46"/>
      <c r="R31" s="69"/>
      <c r="S31" s="45">
        <f>'Revenue data sheet'!J19</f>
        <v>80000</v>
      </c>
      <c r="T31" s="46">
        <f>IF(S32=0,0,(S31*'Revenue data sheet'!$E$5))</f>
        <v>0</v>
      </c>
      <c r="U31" s="69">
        <f>'Revenue data sheet'!J$50</f>
        <v>0.15</v>
      </c>
      <c r="V31" s="9"/>
      <c r="W31" s="7"/>
    </row>
    <row r="32" spans="1:23" ht="18" customHeight="1">
      <c r="A32" s="39"/>
      <c r="B32" s="31"/>
      <c r="C32" s="58"/>
      <c r="D32" s="61"/>
      <c r="E32" s="43"/>
      <c r="F32" s="67"/>
      <c r="G32" s="42"/>
      <c r="H32" s="43"/>
      <c r="I32" s="67"/>
      <c r="J32" s="42"/>
      <c r="K32" s="43"/>
      <c r="L32" s="67"/>
      <c r="M32" s="42"/>
      <c r="N32" s="43"/>
      <c r="O32" s="67"/>
      <c r="P32" s="42"/>
      <c r="Q32" s="43"/>
      <c r="R32" s="67"/>
      <c r="S32" s="366"/>
      <c r="T32" s="366"/>
      <c r="U32" s="366"/>
      <c r="V32" s="9"/>
      <c r="W32" s="10"/>
    </row>
    <row r="33" spans="1:23" ht="18" customHeight="1">
      <c r="A33" s="36"/>
      <c r="B33" s="33"/>
      <c r="C33" s="59" t="s">
        <v>19</v>
      </c>
      <c r="D33" s="48">
        <f>SUM(D26:D30)</f>
        <v>5000</v>
      </c>
      <c r="E33" s="57">
        <f>SUM(E26:E30)</f>
        <v>0</v>
      </c>
      <c r="F33" s="67"/>
      <c r="G33" s="48">
        <f>SUM(G26:G30)</f>
        <v>28000</v>
      </c>
      <c r="H33" s="57">
        <f>SUM(H26:H30)</f>
        <v>1300000</v>
      </c>
      <c r="I33" s="67"/>
      <c r="J33" s="48">
        <f>SUM(J26:J30)</f>
        <v>72200</v>
      </c>
      <c r="K33" s="57">
        <f>SUM(K26:K30)</f>
        <v>4220000</v>
      </c>
      <c r="L33" s="67"/>
      <c r="M33" s="48">
        <f>SUM(M26:M29)</f>
        <v>158170</v>
      </c>
      <c r="N33" s="48">
        <f>SUM(N26:N29)</f>
        <v>9817000</v>
      </c>
      <c r="O33" s="44"/>
      <c r="P33" s="48">
        <f>SUM(P26:P32)</f>
        <v>328044.5</v>
      </c>
      <c r="Q33" s="83">
        <f>SUM(Q26:Q32)</f>
        <v>20804450</v>
      </c>
      <c r="R33" s="44"/>
      <c r="S33" s="48">
        <f>SUM(S26:S32)</f>
        <v>562837.82499999995</v>
      </c>
      <c r="T33" s="83">
        <f>SUM(T26:T32)</f>
        <v>40283782.5</v>
      </c>
      <c r="U33" s="94"/>
      <c r="V33" s="60"/>
      <c r="W33" s="81">
        <f>SUM(W26:W32)</f>
        <v>36141450</v>
      </c>
    </row>
    <row r="34" spans="1:23" ht="18" customHeight="1">
      <c r="A34" s="25" t="s">
        <v>39</v>
      </c>
      <c r="B34" s="66">
        <f>'Revenue data sheet'!$E$15</f>
        <v>4</v>
      </c>
      <c r="C34" s="34" t="s">
        <v>68</v>
      </c>
      <c r="D34" s="42"/>
      <c r="E34" s="43"/>
      <c r="F34" s="67"/>
      <c r="G34" s="42"/>
      <c r="H34" s="43"/>
      <c r="I34" s="67"/>
      <c r="J34" s="42"/>
      <c r="K34" s="43"/>
      <c r="L34" s="67"/>
      <c r="M34" s="42"/>
      <c r="N34" s="43"/>
      <c r="O34" s="67"/>
      <c r="P34" s="42"/>
      <c r="Q34" s="43"/>
      <c r="R34" s="67"/>
      <c r="S34" s="363"/>
      <c r="T34" s="363"/>
      <c r="U34" s="363"/>
      <c r="V34" s="13"/>
      <c r="W34" s="12"/>
    </row>
    <row r="35" spans="1:23" ht="18" customHeight="1">
      <c r="A35" s="37"/>
      <c r="B35" s="23"/>
      <c r="C35" s="29" t="s">
        <v>40</v>
      </c>
      <c r="D35" s="42"/>
      <c r="E35" s="43"/>
      <c r="F35" s="67"/>
      <c r="G35" s="42"/>
      <c r="H35" s="43"/>
      <c r="I35" s="67"/>
      <c r="J35" s="42"/>
      <c r="K35" s="43"/>
      <c r="L35" s="67"/>
      <c r="M35" s="42"/>
      <c r="N35" s="43"/>
      <c r="O35" s="67"/>
      <c r="P35" s="42"/>
      <c r="Q35" s="43"/>
      <c r="R35" s="67"/>
      <c r="S35" s="363"/>
      <c r="T35" s="363"/>
      <c r="U35" s="363"/>
    </row>
    <row r="36" spans="1:23" ht="18" customHeight="1">
      <c r="A36" s="37"/>
      <c r="B36" s="23"/>
      <c r="C36" s="29" t="s">
        <v>41</v>
      </c>
      <c r="D36" s="42"/>
      <c r="E36" s="43"/>
      <c r="F36" s="69">
        <f>'Revenue data sheet'!E47</f>
        <v>0.1</v>
      </c>
      <c r="G36" s="45">
        <f>$B$34*((D7+D17)*(1-F36))</f>
        <v>17640</v>
      </c>
      <c r="H36" s="46">
        <f>G36*'Revenue data sheet'!F$5</f>
        <v>1764000</v>
      </c>
      <c r="I36" s="69">
        <f>'Revenue data sheet'!F47</f>
        <v>0.1</v>
      </c>
      <c r="J36" s="45">
        <f t="shared" ref="J36" si="8">G36*(1-I36)</f>
        <v>15876</v>
      </c>
      <c r="K36" s="46">
        <f>J36*'Revenue data sheet'!G$5</f>
        <v>1587600</v>
      </c>
      <c r="L36" s="69">
        <f>'Revenue data sheet'!G47</f>
        <v>0.15</v>
      </c>
      <c r="M36" s="45">
        <f t="shared" ref="M36:M37" si="9">J36*(1-L36)</f>
        <v>13494.6</v>
      </c>
      <c r="N36" s="46">
        <f>M36*'Revenue data sheet'!H$5</f>
        <v>1349460</v>
      </c>
      <c r="O36" s="69">
        <f>'Revenue data sheet'!H47</f>
        <v>0.15</v>
      </c>
      <c r="P36" s="45">
        <f t="shared" ref="P36:P38" si="10">M36*(1-O36)</f>
        <v>11470.41</v>
      </c>
      <c r="Q36" s="46">
        <f>P36*'Revenue data sheet'!I$5</f>
        <v>1147041</v>
      </c>
      <c r="R36" s="69">
        <f>'Revenue data sheet'!I47</f>
        <v>0.15</v>
      </c>
      <c r="S36" s="45">
        <f t="shared" ref="S36:S39" si="11">P36*(1-R36)</f>
        <v>9749.8485000000001</v>
      </c>
      <c r="T36" s="46">
        <f>S36*'Revenue data sheet'!J$5</f>
        <v>974984.85</v>
      </c>
      <c r="U36" s="69">
        <f>'Revenue data sheet'!J47</f>
        <v>0.15</v>
      </c>
      <c r="V36" s="9"/>
      <c r="W36" s="7">
        <f>E35+H36+K36+N36+Q36</f>
        <v>5848101</v>
      </c>
    </row>
    <row r="37" spans="1:23" ht="18" customHeight="1">
      <c r="A37" s="37"/>
      <c r="B37" s="23"/>
      <c r="C37" s="29" t="s">
        <v>42</v>
      </c>
      <c r="D37" s="42"/>
      <c r="E37" s="43"/>
      <c r="F37" s="67"/>
      <c r="G37" s="42"/>
      <c r="H37" s="43"/>
      <c r="I37" s="69">
        <f>F36</f>
        <v>0.1</v>
      </c>
      <c r="J37" s="45">
        <f>$B$34*((G8+G18)*(1-I37))</f>
        <v>16776</v>
      </c>
      <c r="K37" s="46">
        <f>J37*'Revenue data sheet'!G$5</f>
        <v>1677600</v>
      </c>
      <c r="L37" s="69">
        <f>I36</f>
        <v>0.1</v>
      </c>
      <c r="M37" s="45">
        <f t="shared" si="9"/>
        <v>15098.4</v>
      </c>
      <c r="N37" s="46">
        <f>M37*'Revenue data sheet'!H$5</f>
        <v>1509840</v>
      </c>
      <c r="O37" s="69">
        <f>L36</f>
        <v>0.15</v>
      </c>
      <c r="P37" s="45">
        <f t="shared" si="10"/>
        <v>12833.64</v>
      </c>
      <c r="Q37" s="46">
        <f>P37*'Revenue data sheet'!I$5</f>
        <v>1283364</v>
      </c>
      <c r="R37" s="69">
        <f>O36</f>
        <v>0.15</v>
      </c>
      <c r="S37" s="45">
        <f t="shared" si="11"/>
        <v>10908.593999999999</v>
      </c>
      <c r="T37" s="46">
        <f>S37*'Revenue data sheet'!J$5</f>
        <v>1090859.3999999999</v>
      </c>
      <c r="U37" s="69">
        <f>R36</f>
        <v>0.15</v>
      </c>
      <c r="V37" s="9"/>
      <c r="W37" s="7">
        <f>E36+H37+K37+N37+Q37</f>
        <v>4470804</v>
      </c>
    </row>
    <row r="38" spans="1:23" ht="18" customHeight="1">
      <c r="A38" s="37"/>
      <c r="B38" s="23"/>
      <c r="C38" s="29" t="s">
        <v>43</v>
      </c>
      <c r="D38" s="42"/>
      <c r="E38" s="43"/>
      <c r="F38" s="67"/>
      <c r="G38" s="42"/>
      <c r="H38" s="43"/>
      <c r="I38" s="67"/>
      <c r="J38" s="42"/>
      <c r="K38" s="43"/>
      <c r="L38" s="70"/>
      <c r="M38" s="45">
        <f>$B$34*((J9+J19)*(1-L38))</f>
        <v>18128</v>
      </c>
      <c r="N38" s="46">
        <f>M38*'Revenue data sheet'!H$5</f>
        <v>1812800</v>
      </c>
      <c r="O38" s="69">
        <f>L37</f>
        <v>0.1</v>
      </c>
      <c r="P38" s="45">
        <f t="shared" si="10"/>
        <v>16315.2</v>
      </c>
      <c r="Q38" s="46">
        <f>P38*'Revenue data sheet'!I$5</f>
        <v>1631520</v>
      </c>
      <c r="R38" s="69">
        <f>O37</f>
        <v>0.15</v>
      </c>
      <c r="S38" s="45">
        <f t="shared" si="11"/>
        <v>13867.92</v>
      </c>
      <c r="T38" s="46">
        <f>S38*'Revenue data sheet'!J$5</f>
        <v>1386792</v>
      </c>
      <c r="U38" s="69">
        <f t="shared" ref="U38:U40" si="12">R37</f>
        <v>0.15</v>
      </c>
      <c r="V38" s="9"/>
      <c r="W38" s="7">
        <f>E37+H38+K38+N38+Q38</f>
        <v>3444320</v>
      </c>
    </row>
    <row r="39" spans="1:23" ht="18" customHeight="1">
      <c r="A39" s="37"/>
      <c r="B39" s="23"/>
      <c r="C39" s="29" t="s">
        <v>54</v>
      </c>
      <c r="D39" s="42"/>
      <c r="E39" s="43"/>
      <c r="F39" s="67"/>
      <c r="G39" s="42"/>
      <c r="H39" s="43"/>
      <c r="I39" s="67"/>
      <c r="J39" s="42"/>
      <c r="K39" s="43"/>
      <c r="L39" s="70"/>
      <c r="M39" s="42"/>
      <c r="N39" s="43"/>
      <c r="O39" s="70"/>
      <c r="P39" s="45">
        <f>$B$34*((M10+M20)*(1-O39))</f>
        <v>17261.599999999999</v>
      </c>
      <c r="Q39" s="46">
        <f>P39*'Revenue data sheet'!I$5</f>
        <v>1726159.9999999998</v>
      </c>
      <c r="R39" s="69">
        <f>O38</f>
        <v>0.1</v>
      </c>
      <c r="S39" s="45">
        <f t="shared" si="11"/>
        <v>15535.439999999999</v>
      </c>
      <c r="T39" s="46">
        <f>S39*'Revenue data sheet'!J$5</f>
        <v>1553543.9999999998</v>
      </c>
      <c r="U39" s="69">
        <f t="shared" si="12"/>
        <v>0.15</v>
      </c>
      <c r="V39" s="9"/>
      <c r="W39" s="7">
        <f>E38+H39+K39+N39+Q39</f>
        <v>1726159.9999999998</v>
      </c>
    </row>
    <row r="40" spans="1:23" ht="18" customHeight="1">
      <c r="A40" s="37"/>
      <c r="B40" s="23"/>
      <c r="C40" s="29" t="s">
        <v>262</v>
      </c>
      <c r="D40" s="42"/>
      <c r="E40" s="43"/>
      <c r="F40" s="67"/>
      <c r="G40" s="42"/>
      <c r="H40" s="43"/>
      <c r="I40" s="67"/>
      <c r="J40" s="42"/>
      <c r="K40" s="43"/>
      <c r="L40" s="70"/>
      <c r="M40" s="42"/>
      <c r="N40" s="43"/>
      <c r="O40" s="70"/>
      <c r="P40" s="42"/>
      <c r="Q40" s="43"/>
      <c r="R40" s="70"/>
      <c r="S40" s="45">
        <f>$B$34*((P11+P21)*(1-R40))</f>
        <v>16438.519999999997</v>
      </c>
      <c r="T40" s="46">
        <f>S40*'Revenue data sheet'!J$5</f>
        <v>1643851.9999999998</v>
      </c>
      <c r="U40" s="69">
        <f t="shared" si="12"/>
        <v>0.1</v>
      </c>
      <c r="V40" s="9"/>
      <c r="W40" s="7">
        <f>E39+H40+K40+N40+Q40</f>
        <v>0</v>
      </c>
    </row>
    <row r="41" spans="1:23" ht="18" customHeight="1">
      <c r="A41" s="38"/>
      <c r="B41" s="31"/>
      <c r="C41" s="32"/>
      <c r="D41" s="42"/>
      <c r="E41" s="43"/>
      <c r="F41" s="67"/>
      <c r="G41" s="42"/>
      <c r="H41" s="43"/>
      <c r="I41" s="67"/>
      <c r="J41" s="42"/>
      <c r="K41" s="43"/>
      <c r="L41" s="70"/>
      <c r="M41" s="42"/>
      <c r="N41" s="43"/>
      <c r="O41" s="70"/>
      <c r="P41" s="42"/>
      <c r="Q41" s="43"/>
      <c r="R41" s="70"/>
      <c r="S41" s="369"/>
      <c r="T41" s="369"/>
      <c r="U41" s="369"/>
      <c r="V41" s="8"/>
      <c r="W41" s="11"/>
    </row>
    <row r="42" spans="1:23" ht="18" customHeight="1">
      <c r="A42" s="28"/>
      <c r="B42" s="23"/>
      <c r="C42" s="35" t="s">
        <v>39</v>
      </c>
      <c r="D42" s="48">
        <f>SUM(D35:D39)</f>
        <v>0</v>
      </c>
      <c r="E42" s="57">
        <f>SUM(E35:E39)</f>
        <v>0</v>
      </c>
      <c r="F42" s="67"/>
      <c r="G42" s="48">
        <f>SUM(G36:G40)</f>
        <v>17640</v>
      </c>
      <c r="H42" s="57">
        <f>SUM(H36:H40)</f>
        <v>1764000</v>
      </c>
      <c r="I42" s="67"/>
      <c r="J42" s="48">
        <f>SUM(J36:J40)</f>
        <v>32652</v>
      </c>
      <c r="K42" s="57">
        <f>SUM(K36:K40)</f>
        <v>3265200</v>
      </c>
      <c r="L42" s="70"/>
      <c r="M42" s="48">
        <f>SUM(M36:M40)</f>
        <v>46721</v>
      </c>
      <c r="N42" s="57">
        <f>SUM(N36:N40)</f>
        <v>4672100</v>
      </c>
      <c r="O42" s="70"/>
      <c r="P42" s="48">
        <f>SUM(P36:P41)</f>
        <v>57880.85</v>
      </c>
      <c r="Q42" s="83">
        <f>SUM(Q36:Q41)</f>
        <v>5788085</v>
      </c>
      <c r="R42" s="70"/>
      <c r="S42" s="48">
        <f>SUM(S36:S41)</f>
        <v>66500.32249999998</v>
      </c>
      <c r="T42" s="83">
        <f>SUM(T36:T41)</f>
        <v>6650032.25</v>
      </c>
      <c r="U42" s="367"/>
      <c r="V42" s="9"/>
      <c r="W42" s="54">
        <f>SUM(W36:W41)</f>
        <v>15489385</v>
      </c>
    </row>
    <row r="43" spans="1:23" ht="18" customHeight="1">
      <c r="A43" s="25" t="s">
        <v>13</v>
      </c>
      <c r="B43" s="26"/>
      <c r="C43" s="62"/>
      <c r="D43" s="61"/>
      <c r="E43" s="43"/>
      <c r="F43" s="67"/>
      <c r="G43" s="42"/>
      <c r="H43" s="43"/>
      <c r="I43" s="67"/>
      <c r="J43" s="42"/>
      <c r="K43" s="43"/>
      <c r="L43" s="67"/>
      <c r="M43" s="42"/>
      <c r="N43" s="43"/>
      <c r="O43" s="67"/>
      <c r="P43" s="42"/>
      <c r="Q43" s="43"/>
      <c r="R43" s="67"/>
      <c r="S43" s="363"/>
      <c r="T43" s="363"/>
      <c r="U43" s="363"/>
      <c r="V43" s="13"/>
      <c r="W43" s="12"/>
    </row>
    <row r="44" spans="1:23" ht="18" customHeight="1">
      <c r="A44" s="37"/>
      <c r="B44" s="23"/>
      <c r="C44" s="63" t="s">
        <v>206</v>
      </c>
      <c r="D44" s="79">
        <f>'Revenue data sheet'!E25</f>
        <v>25</v>
      </c>
      <c r="E44" s="46">
        <f>D44*'Revenue data sheet'!E23</f>
        <v>0</v>
      </c>
      <c r="F44" s="69">
        <f>'Revenue data sheet'!E48</f>
        <v>0</v>
      </c>
      <c r="G44" s="45">
        <f>D44*(1-F44)</f>
        <v>25</v>
      </c>
      <c r="H44" s="46">
        <f>G44*'Revenue data sheet'!F23</f>
        <v>12500</v>
      </c>
      <c r="I44" s="69">
        <f>'Revenue data sheet'!F48</f>
        <v>0</v>
      </c>
      <c r="J44" s="45">
        <f>G44*(1-I44)</f>
        <v>25</v>
      </c>
      <c r="K44" s="46">
        <f>J44*'Revenue data sheet'!G23</f>
        <v>12500</v>
      </c>
      <c r="L44" s="69">
        <f>'Revenue data sheet'!G48</f>
        <v>0</v>
      </c>
      <c r="M44" s="45">
        <f>J44*(1-L44)</f>
        <v>25</v>
      </c>
      <c r="N44" s="46">
        <f>M44*'Revenue data sheet'!H23</f>
        <v>18750</v>
      </c>
      <c r="O44" s="69">
        <f>'Revenue data sheet'!H48</f>
        <v>0</v>
      </c>
      <c r="P44" s="45">
        <f t="shared" ref="P44:P47" si="13">M44*(1-O44)</f>
        <v>25</v>
      </c>
      <c r="Q44" s="46">
        <f>P44*'Revenue data sheet'!I$23</f>
        <v>18750</v>
      </c>
      <c r="R44" s="69">
        <f>'Revenue data sheet'!I48</f>
        <v>0</v>
      </c>
      <c r="S44" s="45">
        <f t="shared" ref="S44" si="14">P44*(1-R44)</f>
        <v>25</v>
      </c>
      <c r="T44" s="46">
        <f>S44*'Revenue data sheet'!J$23</f>
        <v>18750</v>
      </c>
      <c r="U44" s="69">
        <f>'Revenue data sheet'!J48</f>
        <v>0</v>
      </c>
      <c r="V44" s="9"/>
      <c r="W44" s="7">
        <f t="shared" ref="W44:W48" si="15">E44+H44+K44+N44+Q44</f>
        <v>62500</v>
      </c>
    </row>
    <row r="45" spans="1:23" ht="18" customHeight="1">
      <c r="A45" s="37"/>
      <c r="B45" s="23"/>
      <c r="C45" s="63" t="s">
        <v>71</v>
      </c>
      <c r="D45" s="61"/>
      <c r="E45" s="43"/>
      <c r="F45" s="67"/>
      <c r="G45" s="45">
        <f>'Revenue data sheet'!F25</f>
        <v>50</v>
      </c>
      <c r="H45" s="46">
        <f>G45*'Revenue data sheet'!F23</f>
        <v>25000</v>
      </c>
      <c r="I45" s="69">
        <f>F44</f>
        <v>0</v>
      </c>
      <c r="J45" s="80">
        <f>G45*(1-I45)</f>
        <v>50</v>
      </c>
      <c r="K45" s="46">
        <f>J45*'Revenue data sheet'!G23</f>
        <v>25000</v>
      </c>
      <c r="L45" s="69">
        <f t="shared" ref="L45:L46" si="16">I44</f>
        <v>0</v>
      </c>
      <c r="M45" s="80">
        <f>J45*(1-L45)</f>
        <v>50</v>
      </c>
      <c r="N45" s="46">
        <f>M45*'Revenue data sheet'!H23</f>
        <v>37500</v>
      </c>
      <c r="O45" s="69">
        <f t="shared" ref="O45:O47" si="17">L44</f>
        <v>0</v>
      </c>
      <c r="P45" s="45">
        <f t="shared" si="13"/>
        <v>50</v>
      </c>
      <c r="Q45" s="46">
        <f>P45*'Revenue data sheet'!I$23</f>
        <v>37500</v>
      </c>
      <c r="R45" s="69">
        <f t="shared" ref="R45:R48" si="18">O44</f>
        <v>0</v>
      </c>
      <c r="S45" s="45">
        <f t="shared" ref="S45:S48" si="19">P45*(1-R45)</f>
        <v>50</v>
      </c>
      <c r="T45" s="46">
        <f>S45*'Revenue data sheet'!J$23</f>
        <v>37500</v>
      </c>
      <c r="U45" s="69">
        <f>'Revenue data sheet'!J49</f>
        <v>0</v>
      </c>
      <c r="V45" s="9"/>
      <c r="W45" s="7">
        <f t="shared" si="15"/>
        <v>125000</v>
      </c>
    </row>
    <row r="46" spans="1:23" ht="18" customHeight="1">
      <c r="A46" s="37"/>
      <c r="B46" s="23"/>
      <c r="C46" s="63" t="s">
        <v>72</v>
      </c>
      <c r="D46" s="61"/>
      <c r="E46" s="43"/>
      <c r="F46" s="67"/>
      <c r="G46" s="42"/>
      <c r="H46" s="43"/>
      <c r="I46" s="67"/>
      <c r="J46" s="45">
        <f>'Revenue data sheet'!G25</f>
        <v>100</v>
      </c>
      <c r="K46" s="46">
        <f>J46*'Revenue data sheet'!G23</f>
        <v>50000</v>
      </c>
      <c r="L46" s="69">
        <f t="shared" si="16"/>
        <v>0</v>
      </c>
      <c r="M46" s="45">
        <f>J46*(1-L46)</f>
        <v>100</v>
      </c>
      <c r="N46" s="46">
        <f>M46*'Revenue data sheet'!H23</f>
        <v>75000</v>
      </c>
      <c r="O46" s="69">
        <f t="shared" si="17"/>
        <v>0</v>
      </c>
      <c r="P46" s="45">
        <f t="shared" si="13"/>
        <v>100</v>
      </c>
      <c r="Q46" s="46">
        <f>P46*'Revenue data sheet'!I$23</f>
        <v>75000</v>
      </c>
      <c r="R46" s="69">
        <f t="shared" si="18"/>
        <v>0</v>
      </c>
      <c r="S46" s="45">
        <f t="shared" si="19"/>
        <v>100</v>
      </c>
      <c r="T46" s="46">
        <f>S46*'Revenue data sheet'!J$23</f>
        <v>75000</v>
      </c>
      <c r="U46" s="69">
        <f>'Revenue data sheet'!J50</f>
        <v>0.15</v>
      </c>
      <c r="V46" s="9"/>
      <c r="W46" s="7">
        <f t="shared" si="15"/>
        <v>200000</v>
      </c>
    </row>
    <row r="47" spans="1:23" ht="18" customHeight="1">
      <c r="A47" s="37"/>
      <c r="B47" s="23"/>
      <c r="C47" s="63" t="s">
        <v>73</v>
      </c>
      <c r="D47" s="61"/>
      <c r="E47" s="43"/>
      <c r="F47" s="67"/>
      <c r="G47" s="42"/>
      <c r="H47" s="43"/>
      <c r="I47" s="67"/>
      <c r="J47" s="42"/>
      <c r="K47" s="43"/>
      <c r="L47" s="67"/>
      <c r="M47" s="45">
        <f>'Revenue data sheet'!H25</f>
        <v>100</v>
      </c>
      <c r="N47" s="46">
        <f>M47*'Revenue data sheet'!H23</f>
        <v>75000</v>
      </c>
      <c r="O47" s="69">
        <f t="shared" si="17"/>
        <v>0</v>
      </c>
      <c r="P47" s="45">
        <f t="shared" si="13"/>
        <v>100</v>
      </c>
      <c r="Q47" s="46">
        <f>P47*'Revenue data sheet'!I$23</f>
        <v>75000</v>
      </c>
      <c r="R47" s="69">
        <f t="shared" si="18"/>
        <v>0</v>
      </c>
      <c r="S47" s="45">
        <f t="shared" si="19"/>
        <v>100</v>
      </c>
      <c r="T47" s="46">
        <f>S47*'Revenue data sheet'!J$23</f>
        <v>75000</v>
      </c>
      <c r="U47" s="69">
        <f>'Revenue data sheet'!J51</f>
        <v>0</v>
      </c>
      <c r="V47" s="9"/>
      <c r="W47" s="7">
        <f t="shared" si="15"/>
        <v>150000</v>
      </c>
    </row>
    <row r="48" spans="1:23" ht="18" customHeight="1">
      <c r="A48" s="37"/>
      <c r="B48" s="23"/>
      <c r="C48" s="63" t="s">
        <v>207</v>
      </c>
      <c r="D48" s="61"/>
      <c r="E48" s="43"/>
      <c r="F48" s="67"/>
      <c r="G48" s="42"/>
      <c r="H48" s="43"/>
      <c r="I48" s="67"/>
      <c r="J48" s="42"/>
      <c r="K48" s="43"/>
      <c r="L48" s="67"/>
      <c r="M48" s="45"/>
      <c r="N48" s="46"/>
      <c r="O48" s="69"/>
      <c r="P48" s="45">
        <f>'Revenue data sheet'!I25</f>
        <v>100</v>
      </c>
      <c r="Q48" s="46">
        <f>P48*'Revenue data sheet'!I$23</f>
        <v>75000</v>
      </c>
      <c r="R48" s="69">
        <f t="shared" si="18"/>
        <v>0</v>
      </c>
      <c r="S48" s="45">
        <f t="shared" si="19"/>
        <v>100</v>
      </c>
      <c r="T48" s="46">
        <f>S48*'Revenue data sheet'!J$23</f>
        <v>75000</v>
      </c>
      <c r="U48" s="69">
        <f>'Revenue data sheet'!J52</f>
        <v>0</v>
      </c>
      <c r="V48" s="8"/>
      <c r="W48" s="7">
        <f t="shared" si="15"/>
        <v>75000</v>
      </c>
    </row>
    <row r="49" spans="1:23" ht="18" customHeight="1">
      <c r="A49" s="37"/>
      <c r="B49" s="23"/>
      <c r="C49" s="63" t="s">
        <v>263</v>
      </c>
      <c r="D49" s="61"/>
      <c r="E49" s="43"/>
      <c r="F49" s="67"/>
      <c r="G49" s="42"/>
      <c r="H49" s="43"/>
      <c r="I49" s="67"/>
      <c r="J49" s="42"/>
      <c r="K49" s="43"/>
      <c r="L49" s="67"/>
      <c r="M49" s="45"/>
      <c r="N49" s="46"/>
      <c r="O49" s="69"/>
      <c r="P49" s="45"/>
      <c r="Q49" s="46"/>
      <c r="R49" s="69"/>
      <c r="S49" s="45">
        <f>'Revenue data sheet'!J25</f>
        <v>100</v>
      </c>
      <c r="T49" s="46">
        <f>S49*'Revenue data sheet'!J$23</f>
        <v>75000</v>
      </c>
      <c r="U49" s="69">
        <f>'Revenue data sheet'!J53</f>
        <v>0</v>
      </c>
      <c r="V49" s="8"/>
      <c r="W49" s="7"/>
    </row>
    <row r="50" spans="1:23" ht="18" customHeight="1">
      <c r="A50" s="38"/>
      <c r="B50" s="31"/>
      <c r="C50" s="58"/>
      <c r="D50" s="61"/>
      <c r="E50" s="43"/>
      <c r="F50" s="67"/>
      <c r="G50" s="42"/>
      <c r="H50" s="43"/>
      <c r="I50" s="67"/>
      <c r="J50" s="42"/>
      <c r="K50" s="43"/>
      <c r="L50" s="67"/>
      <c r="M50" s="42"/>
      <c r="N50" s="43"/>
      <c r="O50" s="67"/>
      <c r="P50" s="42"/>
      <c r="Q50" s="43"/>
      <c r="R50" s="67"/>
      <c r="S50" s="364"/>
      <c r="T50" s="364"/>
      <c r="U50" s="364"/>
      <c r="V50" s="60"/>
      <c r="W50" s="10"/>
    </row>
    <row r="51" spans="1:23" ht="18" customHeight="1">
      <c r="A51" s="28"/>
      <c r="B51" s="23"/>
      <c r="C51" s="64" t="s">
        <v>208</v>
      </c>
      <c r="D51" s="48">
        <f>SUM(D44:D48)</f>
        <v>25</v>
      </c>
      <c r="E51" s="57">
        <f>SUM(E44:E48)</f>
        <v>0</v>
      </c>
      <c r="F51" s="67"/>
      <c r="G51" s="48">
        <f>SUM(G44:G48)</f>
        <v>75</v>
      </c>
      <c r="H51" s="57">
        <f>SUM(H44:H48)</f>
        <v>37500</v>
      </c>
      <c r="I51" s="67"/>
      <c r="J51" s="48">
        <f>SUM(J44:J48)</f>
        <v>175</v>
      </c>
      <c r="K51" s="57">
        <f>SUM(K44:K48)</f>
        <v>87500</v>
      </c>
      <c r="L51" s="67"/>
      <c r="M51" s="48">
        <f>SUM(M44:M47)</f>
        <v>275</v>
      </c>
      <c r="N51" s="48">
        <f>SUM(N44:N47)</f>
        <v>206250</v>
      </c>
      <c r="O51" s="67"/>
      <c r="P51" s="48">
        <f>SUM(P44:P50)</f>
        <v>375</v>
      </c>
      <c r="Q51" s="83">
        <f>SUM(Q44:Q50)</f>
        <v>281250</v>
      </c>
      <c r="R51" s="67"/>
      <c r="S51" s="48">
        <f>SUM(S44:S50)</f>
        <v>475</v>
      </c>
      <c r="T51" s="83">
        <f>SUM(T44:T50)</f>
        <v>356250</v>
      </c>
      <c r="U51" s="364"/>
      <c r="V51" s="60"/>
      <c r="W51" s="81">
        <f>SUM(W44:W50)</f>
        <v>612500</v>
      </c>
    </row>
    <row r="52" spans="1:23" ht="18" customHeight="1">
      <c r="A52" s="25" t="s">
        <v>14</v>
      </c>
      <c r="B52" s="26"/>
      <c r="C52" s="62"/>
      <c r="D52" s="61"/>
      <c r="E52" s="43"/>
      <c r="F52" s="67"/>
      <c r="G52" s="42"/>
      <c r="H52" s="43"/>
      <c r="I52" s="67"/>
      <c r="J52" s="42"/>
      <c r="K52" s="43"/>
      <c r="L52" s="67"/>
      <c r="M52" s="42"/>
      <c r="N52" s="43"/>
      <c r="O52" s="67"/>
      <c r="P52" s="42"/>
      <c r="Q52" s="43"/>
      <c r="R52" s="67"/>
      <c r="S52" s="363"/>
      <c r="T52" s="363"/>
      <c r="U52" s="363"/>
      <c r="V52" s="13"/>
      <c r="W52" s="12"/>
    </row>
    <row r="53" spans="1:23" ht="18" customHeight="1">
      <c r="A53" s="37"/>
      <c r="B53" s="23"/>
      <c r="C53" s="63" t="s">
        <v>15</v>
      </c>
      <c r="D53" s="79">
        <f>'Revenue data sheet'!E29</f>
        <v>0</v>
      </c>
      <c r="E53" s="46">
        <f>D53*'Revenue data sheet'!E29</f>
        <v>0</v>
      </c>
      <c r="F53" s="69">
        <f>'Revenue data sheet'!$E$49</f>
        <v>0</v>
      </c>
      <c r="G53" s="45">
        <f>D53*(1-F53)</f>
        <v>0</v>
      </c>
      <c r="H53" s="46">
        <f>G53*'Revenue data sheet'!F$29</f>
        <v>0</v>
      </c>
      <c r="I53" s="69">
        <f>'Revenue data sheet'!$F$49</f>
        <v>0</v>
      </c>
      <c r="J53" s="45">
        <f>G53*(1-I53)</f>
        <v>0</v>
      </c>
      <c r="K53" s="46">
        <f>J53*'Revenue data sheet'!G$29</f>
        <v>0</v>
      </c>
      <c r="L53" s="69">
        <f>'Revenue data sheet'!$G$49</f>
        <v>0</v>
      </c>
      <c r="M53" s="45">
        <f>J53*(1-L53)</f>
        <v>0</v>
      </c>
      <c r="N53" s="46">
        <f>M53*'Revenue data sheet'!H$29</f>
        <v>0</v>
      </c>
      <c r="O53" s="69">
        <f>'Revenue data sheet'!$H$49</f>
        <v>0</v>
      </c>
      <c r="P53" s="45">
        <f>M53*(1-O53)</f>
        <v>0</v>
      </c>
      <c r="Q53" s="46">
        <f>P53*'Revenue data sheet'!I$29</f>
        <v>0</v>
      </c>
      <c r="R53" s="69">
        <f>'Revenue data sheet'!$H$49</f>
        <v>0</v>
      </c>
      <c r="S53" s="45">
        <f>P53*(1-R53)</f>
        <v>0</v>
      </c>
      <c r="T53" s="46">
        <f>S53*'Revenue data sheet'!J$29</f>
        <v>0</v>
      </c>
      <c r="U53" s="69">
        <f>'Revenue data sheet'!$H$49</f>
        <v>0</v>
      </c>
      <c r="V53" s="9"/>
      <c r="W53" s="7">
        <f t="shared" ref="W53:W57" si="20">E53+H53+K53+N53+Q53</f>
        <v>0</v>
      </c>
    </row>
    <row r="54" spans="1:23" ht="18" customHeight="1">
      <c r="A54" s="37"/>
      <c r="B54" s="23"/>
      <c r="C54" s="63" t="s">
        <v>16</v>
      </c>
      <c r="D54" s="61"/>
      <c r="E54" s="43"/>
      <c r="F54" s="67"/>
      <c r="G54" s="45">
        <f>'Revenue data sheet'!F31</f>
        <v>4</v>
      </c>
      <c r="H54" s="46">
        <f>G54*'Revenue data sheet'!F$29</f>
        <v>60000</v>
      </c>
      <c r="I54" s="69">
        <f>'Revenue data sheet'!$E$49</f>
        <v>0</v>
      </c>
      <c r="J54" s="45">
        <f>G54*(1-I54)</f>
        <v>4</v>
      </c>
      <c r="K54" s="46">
        <f>J54*'Revenue data sheet'!G$29</f>
        <v>120000</v>
      </c>
      <c r="L54" s="69">
        <f>'Revenue data sheet'!$F$49</f>
        <v>0</v>
      </c>
      <c r="M54" s="45">
        <f>J54*(1-L54)</f>
        <v>4</v>
      </c>
      <c r="N54" s="46">
        <f>M54*'Revenue data sheet'!H$29</f>
        <v>240000</v>
      </c>
      <c r="O54" s="69">
        <f>'Revenue data sheet'!$G$49</f>
        <v>0</v>
      </c>
      <c r="P54" s="45">
        <f t="shared" ref="P54:P56" si="21">M54*(1-O54)</f>
        <v>4</v>
      </c>
      <c r="Q54" s="46">
        <f>P54*'Revenue data sheet'!I$29</f>
        <v>480000</v>
      </c>
      <c r="R54" s="69">
        <f>'Revenue data sheet'!$H$49</f>
        <v>0</v>
      </c>
      <c r="S54" s="45">
        <f t="shared" ref="S54:S57" si="22">P54*(1-R54)</f>
        <v>4</v>
      </c>
      <c r="T54" s="46">
        <f>S54*'Revenue data sheet'!J$29</f>
        <v>480000</v>
      </c>
      <c r="U54" s="69">
        <f>'Revenue data sheet'!$H$49</f>
        <v>0</v>
      </c>
      <c r="V54" s="9"/>
      <c r="W54" s="7">
        <f t="shared" si="20"/>
        <v>900000</v>
      </c>
    </row>
    <row r="55" spans="1:23" ht="18" customHeight="1">
      <c r="A55" s="37"/>
      <c r="B55" s="23"/>
      <c r="C55" s="63" t="s">
        <v>17</v>
      </c>
      <c r="D55" s="61"/>
      <c r="E55" s="43"/>
      <c r="F55" s="67"/>
      <c r="G55" s="42"/>
      <c r="H55" s="43"/>
      <c r="I55" s="67"/>
      <c r="J55" s="45">
        <f>'Revenue data sheet'!G31</f>
        <v>6</v>
      </c>
      <c r="K55" s="46">
        <f>J55*'Revenue data sheet'!G$29</f>
        <v>180000</v>
      </c>
      <c r="L55" s="69">
        <f>'Revenue data sheet'!$E$49</f>
        <v>0</v>
      </c>
      <c r="M55" s="45">
        <f>J55*(1-L55)</f>
        <v>6</v>
      </c>
      <c r="N55" s="46">
        <f>M55*'Revenue data sheet'!H$29</f>
        <v>360000</v>
      </c>
      <c r="O55" s="69">
        <f>'Revenue data sheet'!$F$49</f>
        <v>0</v>
      </c>
      <c r="P55" s="45">
        <f t="shared" si="21"/>
        <v>6</v>
      </c>
      <c r="Q55" s="46">
        <f>P55*'Revenue data sheet'!I$29</f>
        <v>720000</v>
      </c>
      <c r="R55" s="69">
        <f>'Revenue data sheet'!$H$49</f>
        <v>0</v>
      </c>
      <c r="S55" s="45">
        <f t="shared" si="22"/>
        <v>6</v>
      </c>
      <c r="T55" s="46">
        <f>S55*'Revenue data sheet'!J$29</f>
        <v>720000</v>
      </c>
      <c r="U55" s="69">
        <f>'Revenue data sheet'!$H$49</f>
        <v>0</v>
      </c>
      <c r="V55" s="9"/>
      <c r="W55" s="7">
        <f t="shared" si="20"/>
        <v>1260000</v>
      </c>
    </row>
    <row r="56" spans="1:23" ht="18" customHeight="1">
      <c r="A56" s="37"/>
      <c r="B56" s="23"/>
      <c r="C56" s="63" t="s">
        <v>18</v>
      </c>
      <c r="D56" s="61"/>
      <c r="E56" s="43"/>
      <c r="F56" s="67"/>
      <c r="G56" s="42"/>
      <c r="H56" s="43"/>
      <c r="I56" s="67"/>
      <c r="J56" s="42"/>
      <c r="K56" s="43"/>
      <c r="L56" s="67"/>
      <c r="M56" s="45">
        <f>'Revenue data sheet'!H31</f>
        <v>8</v>
      </c>
      <c r="N56" s="46">
        <f>M56*'Revenue data sheet'!H$29</f>
        <v>480000</v>
      </c>
      <c r="O56" s="69">
        <f>'Revenue data sheet'!$H$49</f>
        <v>0</v>
      </c>
      <c r="P56" s="45">
        <f t="shared" si="21"/>
        <v>8</v>
      </c>
      <c r="Q56" s="46">
        <f>P56*'Revenue data sheet'!I$29</f>
        <v>960000</v>
      </c>
      <c r="R56" s="69">
        <f>'Revenue data sheet'!$H$49</f>
        <v>0</v>
      </c>
      <c r="S56" s="45">
        <f t="shared" si="22"/>
        <v>8</v>
      </c>
      <c r="T56" s="46">
        <f>S56*'Revenue data sheet'!J$29</f>
        <v>960000</v>
      </c>
      <c r="U56" s="69">
        <f>'Revenue data sheet'!$H$49</f>
        <v>0</v>
      </c>
      <c r="V56" s="9"/>
      <c r="W56" s="7">
        <f t="shared" si="20"/>
        <v>1440000</v>
      </c>
    </row>
    <row r="57" spans="1:23" ht="18" customHeight="1">
      <c r="A57" s="37"/>
      <c r="B57" s="23"/>
      <c r="C57" s="63" t="s">
        <v>55</v>
      </c>
      <c r="D57" s="61"/>
      <c r="E57" s="43"/>
      <c r="F57" s="67"/>
      <c r="G57" s="42"/>
      <c r="H57" s="43"/>
      <c r="I57" s="67"/>
      <c r="J57" s="42"/>
      <c r="K57" s="43"/>
      <c r="L57" s="67"/>
      <c r="M57" s="42"/>
      <c r="N57" s="43"/>
      <c r="O57" s="67"/>
      <c r="P57" s="45">
        <f>'Revenue data sheet'!I31</f>
        <v>10</v>
      </c>
      <c r="Q57" s="46">
        <f>P57*'Revenue data sheet'!I$29</f>
        <v>1200000</v>
      </c>
      <c r="R57" s="69">
        <f>'Revenue data sheet'!I49</f>
        <v>0</v>
      </c>
      <c r="S57" s="45">
        <f t="shared" si="22"/>
        <v>10</v>
      </c>
      <c r="T57" s="46">
        <f>S57*'Revenue data sheet'!J$29</f>
        <v>1200000</v>
      </c>
      <c r="U57" s="69">
        <f>'Revenue data sheet'!$H$49</f>
        <v>0</v>
      </c>
      <c r="V57" s="8"/>
      <c r="W57" s="7">
        <f t="shared" si="20"/>
        <v>1200000</v>
      </c>
    </row>
    <row r="58" spans="1:23" ht="18" customHeight="1">
      <c r="A58" s="37"/>
      <c r="B58" s="23"/>
      <c r="C58" s="63" t="s">
        <v>264</v>
      </c>
      <c r="D58" s="61"/>
      <c r="E58" s="43"/>
      <c r="F58" s="67"/>
      <c r="G58" s="42"/>
      <c r="H58" s="43"/>
      <c r="I58" s="67"/>
      <c r="J58" s="42"/>
      <c r="K58" s="43"/>
      <c r="L58" s="67"/>
      <c r="M58" s="42"/>
      <c r="N58" s="43"/>
      <c r="O58" s="67"/>
      <c r="P58" s="45"/>
      <c r="Q58" s="46"/>
      <c r="R58" s="69"/>
      <c r="S58" s="45">
        <f>'Revenue data sheet'!J31</f>
        <v>10</v>
      </c>
      <c r="T58" s="46">
        <f>S58*'Revenue data sheet'!J$29</f>
        <v>1200000</v>
      </c>
      <c r="U58" s="69">
        <f>'Revenue data sheet'!$H$49</f>
        <v>0</v>
      </c>
      <c r="V58" s="8"/>
      <c r="W58" s="7"/>
    </row>
    <row r="59" spans="1:23" ht="18" customHeight="1">
      <c r="A59" s="38"/>
      <c r="B59" s="31"/>
      <c r="C59" s="58"/>
      <c r="D59" s="61"/>
      <c r="E59" s="43"/>
      <c r="F59" s="67"/>
      <c r="G59" s="42"/>
      <c r="H59" s="43"/>
      <c r="I59" s="67"/>
      <c r="J59" s="42"/>
      <c r="K59" s="43"/>
      <c r="L59" s="67"/>
      <c r="M59" s="42"/>
      <c r="N59" s="43"/>
      <c r="O59" s="67"/>
      <c r="P59" s="42"/>
      <c r="Q59" s="43"/>
      <c r="R59" s="67"/>
      <c r="S59" s="364"/>
      <c r="T59" s="364"/>
      <c r="U59" s="364"/>
      <c r="V59" s="60"/>
      <c r="W59" s="7"/>
    </row>
    <row r="60" spans="1:23" ht="18" customHeight="1">
      <c r="A60" s="28"/>
      <c r="B60" s="23"/>
      <c r="C60" s="64" t="s">
        <v>14</v>
      </c>
      <c r="D60" s="48">
        <f>SUM(D53:D57)</f>
        <v>0</v>
      </c>
      <c r="E60" s="57">
        <f>SUM(E53:E57)</f>
        <v>0</v>
      </c>
      <c r="F60" s="67"/>
      <c r="G60" s="48">
        <f>SUM(G53:G57)</f>
        <v>4</v>
      </c>
      <c r="H60" s="57">
        <f>SUM(H53:H57)</f>
        <v>60000</v>
      </c>
      <c r="I60" s="67"/>
      <c r="J60" s="48">
        <f>SUM(J53:J57)</f>
        <v>10</v>
      </c>
      <c r="K60" s="57">
        <f>SUM(K53:K57)</f>
        <v>300000</v>
      </c>
      <c r="L60" s="67"/>
      <c r="M60" s="48">
        <f>SUM(M53:M56)</f>
        <v>18</v>
      </c>
      <c r="N60" s="83">
        <f>SUM(N53:N56)</f>
        <v>1080000</v>
      </c>
      <c r="O60" s="67"/>
      <c r="P60" s="48">
        <f>SUM(P53:P59)</f>
        <v>28</v>
      </c>
      <c r="Q60" s="83">
        <f>SUM(Q53:Q59)</f>
        <v>3360000</v>
      </c>
      <c r="R60" s="67"/>
      <c r="S60" s="48">
        <f>SUM(S53:S59)</f>
        <v>38</v>
      </c>
      <c r="T60" s="83">
        <f>SUM(T53:T59)</f>
        <v>4560000</v>
      </c>
      <c r="U60" s="364"/>
      <c r="V60" s="60"/>
      <c r="W60" s="81">
        <f>SUM(W53:W59)</f>
        <v>4800000</v>
      </c>
    </row>
    <row r="61" spans="1:23" ht="18" customHeight="1">
      <c r="A61" s="22"/>
      <c r="B61" s="94"/>
      <c r="C61" s="95"/>
      <c r="D61" s="48"/>
      <c r="E61" s="57"/>
      <c r="F61" s="67"/>
      <c r="G61" s="48"/>
      <c r="H61" s="57"/>
      <c r="I61" s="67"/>
      <c r="J61" s="48"/>
      <c r="K61" s="57"/>
      <c r="L61" s="67"/>
      <c r="M61" s="48"/>
      <c r="N61" s="48"/>
      <c r="O61" s="44"/>
      <c r="P61" s="48"/>
      <c r="Q61" s="83"/>
      <c r="R61" s="44"/>
      <c r="S61" s="48"/>
      <c r="T61" s="83"/>
      <c r="U61" s="44"/>
      <c r="V61" s="9"/>
      <c r="W61" s="54"/>
    </row>
    <row r="62" spans="1:23" ht="18" customHeight="1">
      <c r="A62" s="22"/>
      <c r="B62" s="94"/>
      <c r="C62" s="95"/>
      <c r="D62" s="48"/>
      <c r="E62" s="57"/>
      <c r="F62" s="67"/>
      <c r="G62" s="48"/>
      <c r="H62" s="57"/>
      <c r="I62" s="67"/>
      <c r="J62" s="48"/>
      <c r="K62" s="57"/>
      <c r="L62" s="67"/>
      <c r="M62" s="48"/>
      <c r="N62" s="48"/>
      <c r="O62" s="44"/>
      <c r="P62" s="48"/>
      <c r="Q62" s="83"/>
      <c r="R62" s="44"/>
      <c r="S62" s="48"/>
      <c r="T62" s="83"/>
      <c r="U62" s="44"/>
      <c r="V62" s="9"/>
      <c r="W62" s="54"/>
    </row>
    <row r="63" spans="1:23" ht="18" customHeight="1">
      <c r="A63" s="22"/>
      <c r="B63" s="94"/>
      <c r="C63" s="56" t="s">
        <v>61</v>
      </c>
      <c r="D63" s="48"/>
      <c r="E63" s="57">
        <f>(D$14+D$24+D$42+(D$51*'Revenue data sheet'!E$27)+D$33)*'Revenue data sheet'!E$33*'Revenue data sheet'!E$34</f>
        <v>79400</v>
      </c>
      <c r="F63" s="67"/>
      <c r="G63" s="48"/>
      <c r="H63" s="57">
        <f>(G14+G24+G42+(G51*'Revenue data sheet'!F$27)+G33)*'Revenue data sheet'!F$33*'Revenue data sheet'!F$34</f>
        <v>440200</v>
      </c>
      <c r="I63" s="67"/>
      <c r="J63" s="48"/>
      <c r="K63" s="57">
        <f>(J14+J24+J42+(J51*'Revenue data sheet'!G$27)+J33)*'Revenue data sheet'!G$33*'Revenue data sheet'!G$34</f>
        <v>947152</v>
      </c>
      <c r="L63" s="67"/>
      <c r="M63" s="48"/>
      <c r="N63" s="57">
        <f>(M14+M24+M42+(M51*'Revenue data sheet'!H$27)+M33)*'Revenue data sheet'!H$33*'Revenue data sheet'!H$34</f>
        <v>1777259.6</v>
      </c>
      <c r="O63" s="44"/>
      <c r="P63" s="48"/>
      <c r="Q63" s="57">
        <f>(P14+P24+P42+(P51*'Revenue data sheet'!I$27)+P33)*'Revenue data sheet'!I$33*'Revenue data sheet'!I$34</f>
        <v>3254749.4</v>
      </c>
      <c r="R63" s="44"/>
      <c r="S63" s="48"/>
      <c r="T63" s="57">
        <f>(S14+S24+S42+(S51*'Revenue data sheet'!J$27)+S33)*'Revenue data sheet'!J$33*'Revenue data sheet'!J$34</f>
        <v>5225564.1399999997</v>
      </c>
      <c r="U63" s="44"/>
      <c r="V63" s="9"/>
      <c r="W63" s="54"/>
    </row>
    <row r="64" spans="1:23" ht="18" customHeight="1">
      <c r="A64" s="22"/>
      <c r="B64" s="94"/>
      <c r="C64" s="95"/>
      <c r="D64" s="48"/>
      <c r="E64" s="57"/>
      <c r="F64" s="67"/>
      <c r="G64" s="48"/>
      <c r="H64" s="57"/>
      <c r="I64" s="67"/>
      <c r="J64" s="48"/>
      <c r="K64" s="57"/>
      <c r="L64" s="67"/>
      <c r="M64" s="48"/>
      <c r="N64" s="48"/>
      <c r="O64" s="44"/>
      <c r="P64" s="48"/>
      <c r="Q64" s="83"/>
      <c r="R64" s="44"/>
      <c r="S64" s="48"/>
      <c r="T64" s="83"/>
      <c r="U64" s="44"/>
      <c r="V64" s="9"/>
      <c r="W64" s="54"/>
    </row>
    <row r="65" spans="1:23" ht="18" customHeight="1">
      <c r="A65" s="22"/>
      <c r="B65" s="94"/>
      <c r="C65" s="95"/>
      <c r="D65" s="48"/>
      <c r="E65" s="57"/>
      <c r="F65" s="67"/>
      <c r="G65" s="48"/>
      <c r="H65" s="57"/>
      <c r="I65" s="67"/>
      <c r="J65" s="48"/>
      <c r="K65" s="57"/>
      <c r="L65" s="67"/>
      <c r="M65" s="48"/>
      <c r="N65" s="48"/>
      <c r="O65" s="44"/>
      <c r="P65" s="48"/>
      <c r="Q65" s="83"/>
      <c r="R65" s="44"/>
      <c r="S65" s="48"/>
      <c r="T65" s="83"/>
      <c r="U65" s="44"/>
      <c r="V65" s="9"/>
      <c r="W65" s="54"/>
    </row>
    <row r="66" spans="1:23" ht="18" customHeight="1">
      <c r="A66" s="22"/>
      <c r="B66" s="94"/>
      <c r="C66" s="56" t="s">
        <v>62</v>
      </c>
      <c r="D66" s="48"/>
      <c r="E66" s="57">
        <f>(D$14+D$24+D$42+(D$51*'Revenue data sheet'!E$27)+D$33)*'Revenue data sheet'!E$36*'Revenue data sheet'!E$37</f>
        <v>39700</v>
      </c>
      <c r="F66" s="67"/>
      <c r="G66" s="48"/>
      <c r="H66" s="57">
        <f>(G$14+G$24+G$42+(G$51*'Revenue data sheet'!F$27)+G$33)*'Revenue data sheet'!F$36*'Revenue data sheet'!F$37</f>
        <v>220100</v>
      </c>
      <c r="I66" s="67"/>
      <c r="J66" s="48"/>
      <c r="K66" s="57">
        <f>(J$14+J$24+J$42+(J$51*'Revenue data sheet'!G$27)+J$33)*'Revenue data sheet'!G$36*'Revenue data sheet'!G$37</f>
        <v>473576</v>
      </c>
      <c r="L66" s="67"/>
      <c r="M66" s="48"/>
      <c r="N66" s="57">
        <f>(M$14+M$24+M$42+(M$51*'Revenue data sheet'!H$27)+M$33)*'Revenue data sheet'!H$36*'Revenue data sheet'!H$37</f>
        <v>888629.8</v>
      </c>
      <c r="O66" s="44"/>
      <c r="P66" s="48"/>
      <c r="Q66" s="57">
        <f>(P$14+P$24+P$42+(P$51*'Revenue data sheet'!I$27)+P$33)*'Revenue data sheet'!I$36*'Revenue data sheet'!I$37</f>
        <v>1627374.7</v>
      </c>
      <c r="R66" s="44"/>
      <c r="S66" s="48"/>
      <c r="T66" s="57">
        <f>(S$14+S$24+S$42+(S$51*'Revenue data sheet'!J$27)+S$33)*'Revenue data sheet'!J$36*'Revenue data sheet'!J$37</f>
        <v>2612782.0699999998</v>
      </c>
      <c r="U66" s="44"/>
      <c r="V66" s="9"/>
      <c r="W66" s="54"/>
    </row>
    <row r="67" spans="1:23" ht="18" customHeight="1">
      <c r="A67" s="22"/>
      <c r="B67" s="94"/>
      <c r="C67" s="95"/>
      <c r="D67" s="48"/>
      <c r="E67" s="57"/>
      <c r="F67" s="67"/>
      <c r="G67" s="48"/>
      <c r="H67" s="57"/>
      <c r="I67" s="67"/>
      <c r="J67" s="48"/>
      <c r="K67" s="57"/>
      <c r="L67" s="67"/>
      <c r="M67" s="48"/>
      <c r="N67" s="48"/>
      <c r="O67" s="44"/>
      <c r="P67" s="48"/>
      <c r="Q67" s="83"/>
      <c r="R67" s="44"/>
      <c r="S67" s="48"/>
      <c r="T67" s="83"/>
      <c r="U67" s="44"/>
      <c r="V67" s="9"/>
      <c r="W67" s="54"/>
    </row>
    <row r="68" spans="1:23" ht="18" customHeight="1">
      <c r="A68" s="22"/>
      <c r="B68" s="94"/>
      <c r="C68" s="95"/>
      <c r="D68" s="42"/>
      <c r="E68" s="43"/>
      <c r="F68" s="67"/>
      <c r="G68" s="42"/>
      <c r="H68" s="43"/>
      <c r="I68" s="67"/>
      <c r="J68" s="42"/>
      <c r="K68" s="43"/>
      <c r="L68" s="67"/>
      <c r="M68" s="42"/>
      <c r="N68" s="43"/>
      <c r="O68" s="44"/>
      <c r="P68" s="42"/>
      <c r="Q68" s="43"/>
      <c r="R68" s="44"/>
      <c r="S68" s="42"/>
      <c r="T68" s="43"/>
      <c r="U68" s="44"/>
      <c r="V68" s="9"/>
      <c r="W68" s="10"/>
    </row>
    <row r="69" spans="1:23" ht="18" customHeight="1">
      <c r="A69" s="22"/>
      <c r="B69" s="89" t="s">
        <v>20</v>
      </c>
      <c r="C69" s="90"/>
      <c r="D69" s="50">
        <f>SUM(D7:D10)+SUM(D16:D19)+SUM(D35:D38)+SUM(D44:D47)+SUM(D53:D56)+SUM(D26:D29)</f>
        <v>10325</v>
      </c>
      <c r="E69" s="52">
        <f>SUM(E7:E10)+SUM(E16:E19)+SUM(E35:E38)+SUM(E44:E47)+SUM(E53:E56)+SUM(E26:E29)</f>
        <v>0</v>
      </c>
      <c r="F69" s="72"/>
      <c r="G69" s="50">
        <f>SUM(G7:G10)+SUM(G16:G19)+SUM(G36:G39)+SUM(G44:G47)+SUM(G53:G56)+SUM(G26:G29)</f>
        <v>55409</v>
      </c>
      <c r="H69" s="52">
        <f>SUM(H7:H10)+SUM(H16:H19)+SUM(H36:H39)+SUM(H44:H47)+SUM(H53:H56)+SUM(H26:H29)</f>
        <v>3626500</v>
      </c>
      <c r="I69" s="72"/>
      <c r="J69" s="50">
        <f>SUM(J7:J10)+SUM(J16:J19)+SUM(J36:J39)+SUM(J44:J47)+SUM(J53:J56)+SUM(J26:J29)</f>
        <v>118765</v>
      </c>
      <c r="K69" s="52">
        <f>SUM(K7:K10)+SUM(K16:K19)+SUM(K36:K39)+SUM(K44:K47)+SUM(K53:K56)+SUM(K26:K29)</f>
        <v>8756200</v>
      </c>
      <c r="L69" s="49"/>
      <c r="M69" s="50">
        <f>SUM(M7:M11)+SUM(M16:M21)+SUM(M36:M40)+SUM(M44:M48)+SUM(M53:M57)+SUM(M26:M30)</f>
        <v>222518.39999999999</v>
      </c>
      <c r="N69" s="52">
        <f>SUM(N7:N11)+SUM(N16:N21)+SUM(N36:N40)+SUM(N44:N48)+SUM(N53:N57)+SUM(N26:N30)</f>
        <v>17042955</v>
      </c>
      <c r="O69" s="44"/>
      <c r="P69" s="50">
        <f>SUM(P7:P11)+SUM(P16:P21)+SUM(P36:P40)+SUM(P44:P48)+SUM(P53:P57)+SUM(P26:P30)</f>
        <v>406871.67499999999</v>
      </c>
      <c r="Q69" s="52">
        <f>SUM(Q7:Q11)+SUM(Q16:Q21)+SUM(Q36:Q40)+SUM(Q44:Q48)+SUM(Q53:Q57)+SUM(Q26:Q30)</f>
        <v>31844574.25</v>
      </c>
      <c r="R69" s="44"/>
      <c r="S69" s="50">
        <f>SUM(S7:S11)+SUM(S16:S21)+SUM(S36:S40)+SUM(S44:S48)+SUM(S53:S57)+SUM(S26:S30)</f>
        <v>569209.36899999995</v>
      </c>
      <c r="T69" s="52">
        <f>SUM(T7:T11)+SUM(T16:T21)+SUM(T36:T40)+SUM(T44:T48)+SUM(T53:T57)+SUM(T26:T30)</f>
        <v>52490935.662500001</v>
      </c>
      <c r="U69" s="44"/>
      <c r="V69" s="9"/>
      <c r="W69" s="51">
        <f>W14+W24+W42+W51+W60+W33</f>
        <v>61270229.25</v>
      </c>
    </row>
    <row r="70" spans="1:23" ht="18" customHeight="1">
      <c r="A70" s="22"/>
      <c r="B70" s="47"/>
      <c r="C70" s="29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4"/>
      <c r="S70" s="42"/>
      <c r="T70" s="42"/>
      <c r="U70" s="44"/>
      <c r="V70" s="9"/>
      <c r="W70" s="85"/>
    </row>
    <row r="71" spans="1:23" ht="18" hidden="1" customHeight="1">
      <c r="A71" s="22"/>
      <c r="B71" s="90" t="str">
        <f>'Revenue data sheet'!C42</f>
        <v>Acquisition cost % sales</v>
      </c>
      <c r="C71" s="90"/>
      <c r="D71" s="42"/>
      <c r="E71" s="88">
        <f>E69*'Revenue data sheet'!E42</f>
        <v>0</v>
      </c>
      <c r="F71" s="88"/>
      <c r="G71" s="88"/>
      <c r="H71" s="88">
        <f>H69*'Revenue data sheet'!F42</f>
        <v>362650</v>
      </c>
      <c r="I71" s="88"/>
      <c r="J71" s="88"/>
      <c r="K71" s="88">
        <f>K69*'Revenue data sheet'!G42</f>
        <v>875620</v>
      </c>
      <c r="L71" s="88"/>
      <c r="M71" s="88"/>
      <c r="N71" s="88">
        <f>N69*'Revenue data sheet'!H42</f>
        <v>1704295.5</v>
      </c>
      <c r="O71" s="88"/>
      <c r="P71" s="88"/>
      <c r="Q71" s="88">
        <f>Q69*'Revenue data sheet'!I42</f>
        <v>3184457.4250000003</v>
      </c>
      <c r="R71" s="44"/>
      <c r="S71" s="88"/>
      <c r="T71" s="88"/>
      <c r="U71" s="44"/>
      <c r="V71" s="9"/>
      <c r="W71" s="7">
        <f t="shared" ref="W71" si="23">E71+H71+K71+N71+Q71</f>
        <v>6127022.9250000007</v>
      </c>
    </row>
    <row r="72" spans="1:23" ht="18" hidden="1" customHeight="1">
      <c r="A72" s="22"/>
      <c r="B72" s="47"/>
      <c r="C72" s="29"/>
      <c r="D72" s="42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44"/>
      <c r="S72" s="88"/>
      <c r="T72" s="88"/>
      <c r="U72" s="44"/>
      <c r="V72" s="9"/>
      <c r="W72" s="85"/>
    </row>
    <row r="73" spans="1:23" ht="18" hidden="1" customHeight="1">
      <c r="A73" s="22"/>
      <c r="B73" s="91" t="s">
        <v>58</v>
      </c>
      <c r="C73" s="91"/>
      <c r="D73" s="92"/>
      <c r="E73" s="93">
        <f>E69-E71</f>
        <v>0</v>
      </c>
      <c r="F73" s="93"/>
      <c r="G73" s="93"/>
      <c r="H73" s="93">
        <f>H69-H71</f>
        <v>3263850</v>
      </c>
      <c r="I73" s="93"/>
      <c r="J73" s="93"/>
      <c r="K73" s="93">
        <f>K69-K71</f>
        <v>7880580</v>
      </c>
      <c r="L73" s="93"/>
      <c r="M73" s="93"/>
      <c r="N73" s="93">
        <f>N69-N71</f>
        <v>15338659.5</v>
      </c>
      <c r="O73" s="93"/>
      <c r="P73" s="93"/>
      <c r="Q73" s="93">
        <f>Q69-Q71</f>
        <v>28660116.824999999</v>
      </c>
      <c r="R73" s="44"/>
      <c r="S73" s="93"/>
      <c r="T73" s="93"/>
      <c r="U73" s="44"/>
      <c r="V73" s="9"/>
      <c r="W73" s="85">
        <f>W69-W71</f>
        <v>55143206.325000003</v>
      </c>
    </row>
    <row r="74" spans="1:23" ht="18" customHeight="1">
      <c r="A74" s="22"/>
      <c r="B74" s="56" t="str">
        <f>'Revenue data sheet'!C21</f>
        <v xml:space="preserve">OM cost/new subscriber </v>
      </c>
      <c r="C74" s="91"/>
      <c r="D74" s="92"/>
      <c r="E74" s="93">
        <f>D26*'Revenue data sheet'!E$21</f>
        <v>50000</v>
      </c>
      <c r="F74" s="93"/>
      <c r="G74" s="93"/>
      <c r="H74" s="93">
        <f>G27*'Revenue data sheet'!F$21</f>
        <v>100000</v>
      </c>
      <c r="I74" s="93"/>
      <c r="J74" s="93"/>
      <c r="K74" s="93">
        <f>J28*'Revenue data sheet'!G$21</f>
        <v>200000</v>
      </c>
      <c r="L74" s="93"/>
      <c r="M74" s="93"/>
      <c r="N74" s="93">
        <f>M29*'Revenue data sheet'!H$21</f>
        <v>400000</v>
      </c>
      <c r="O74" s="93"/>
      <c r="P74" s="93"/>
      <c r="Q74" s="93">
        <f>P30*'Revenue data sheet'!I$21</f>
        <v>800000</v>
      </c>
      <c r="R74" s="44"/>
      <c r="S74" s="93"/>
      <c r="T74" s="93">
        <f>S31*'Revenue data sheet'!J$21</f>
        <v>800000</v>
      </c>
      <c r="U74" s="44"/>
      <c r="V74" s="9"/>
      <c r="W74" s="85"/>
    </row>
    <row r="75" spans="1:23" ht="18" customHeight="1">
      <c r="A75" s="22"/>
      <c r="B75" s="56"/>
      <c r="C75" s="91"/>
      <c r="D75" s="92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44"/>
      <c r="S75" s="93"/>
      <c r="T75" s="93"/>
      <c r="U75" s="44"/>
      <c r="V75" s="9"/>
      <c r="W75" s="85"/>
    </row>
    <row r="76" spans="1:23">
      <c r="A76" s="22"/>
      <c r="B76" s="94"/>
      <c r="C76" s="90"/>
      <c r="D76" s="42"/>
      <c r="E76" s="43"/>
      <c r="F76" s="67"/>
      <c r="G76" s="42"/>
      <c r="H76" s="43"/>
      <c r="I76" s="44"/>
      <c r="J76" s="42"/>
      <c r="K76" s="43"/>
      <c r="L76" s="44"/>
      <c r="M76" s="42"/>
      <c r="N76" s="43"/>
      <c r="O76" s="44"/>
      <c r="P76" s="42"/>
      <c r="Q76" s="43"/>
      <c r="R76" s="44"/>
      <c r="S76" s="42"/>
      <c r="T76" s="43"/>
      <c r="U76" s="44"/>
      <c r="V76" s="9"/>
      <c r="W76" s="10"/>
    </row>
    <row r="77" spans="1:23">
      <c r="A77" s="36"/>
      <c r="B77" s="94"/>
      <c r="C77" s="90"/>
      <c r="D77" s="42"/>
      <c r="E77" s="43"/>
      <c r="F77" s="67"/>
      <c r="G77" s="42"/>
      <c r="H77" s="43"/>
      <c r="I77" s="44"/>
      <c r="J77" s="44"/>
      <c r="K77" s="43"/>
      <c r="L77" s="44"/>
      <c r="M77" s="42"/>
      <c r="N77" s="43"/>
      <c r="O77" s="44"/>
      <c r="P77" s="42"/>
      <c r="Q77" s="42"/>
      <c r="R77" s="44"/>
      <c r="S77" s="42"/>
      <c r="T77" s="42"/>
      <c r="U77" s="44"/>
      <c r="V77" s="8"/>
      <c r="W77" s="11"/>
    </row>
    <row r="78" spans="1:23">
      <c r="D78" s="5"/>
      <c r="E78" s="6"/>
      <c r="H78" s="6"/>
      <c r="K78" s="6"/>
      <c r="M78" s="5"/>
      <c r="N78" s="6"/>
      <c r="P78" s="5"/>
      <c r="Q78" s="6"/>
      <c r="R78" s="6"/>
      <c r="S78" s="6"/>
      <c r="T78" s="6"/>
      <c r="U78" s="6"/>
    </row>
    <row r="79" spans="1:23">
      <c r="E79" s="6"/>
      <c r="H79" s="6"/>
      <c r="K79" s="6"/>
      <c r="M79" s="5"/>
      <c r="N79" s="6"/>
      <c r="Q79" s="6"/>
      <c r="R79" s="6"/>
      <c r="S79" s="6"/>
      <c r="T79" s="6"/>
      <c r="U79" s="6"/>
    </row>
    <row r="80" spans="1:23">
      <c r="E80" s="4"/>
      <c r="H80" s="6"/>
      <c r="K80" s="6"/>
      <c r="N80" s="6"/>
      <c r="Q80" s="6"/>
      <c r="R80" s="6"/>
      <c r="S80" s="6"/>
      <c r="T80" s="6"/>
      <c r="U80" s="6"/>
    </row>
    <row r="81" spans="5:23">
      <c r="E81" s="4"/>
      <c r="H81" s="6"/>
      <c r="K81" s="6"/>
      <c r="N81" s="6"/>
      <c r="Q81" s="6"/>
      <c r="R81" s="6"/>
      <c r="S81" s="6"/>
      <c r="T81" s="6"/>
      <c r="U81" s="6"/>
    </row>
    <row r="82" spans="5:23">
      <c r="E82" s="4"/>
      <c r="H82" s="6"/>
      <c r="K82" s="6"/>
      <c r="N82" s="6"/>
      <c r="Q82" s="6"/>
      <c r="R82" s="6"/>
      <c r="S82" s="6"/>
      <c r="T82" s="6"/>
      <c r="U82" s="6"/>
      <c r="W82" s="1">
        <v>27.5</v>
      </c>
    </row>
    <row r="83" spans="5:23">
      <c r="E83" s="4"/>
      <c r="H83" s="6"/>
      <c r="K83" s="6"/>
      <c r="N83" s="6"/>
      <c r="Q83" s="6"/>
      <c r="R83" s="6"/>
      <c r="S83" s="6"/>
      <c r="T83" s="6"/>
      <c r="U83" s="6"/>
      <c r="W83" s="1">
        <v>4.5</v>
      </c>
    </row>
    <row r="84" spans="5:23">
      <c r="E84" s="4"/>
      <c r="H84" s="4"/>
      <c r="K84" s="4"/>
      <c r="N84" s="4"/>
      <c r="W84" s="1">
        <f>W82/W83</f>
        <v>6.1111111111111107</v>
      </c>
    </row>
    <row r="85" spans="5:23">
      <c r="E85" s="4"/>
      <c r="H85" s="4"/>
      <c r="K85" s="4"/>
      <c r="N85" s="4"/>
    </row>
    <row r="86" spans="5:23">
      <c r="E86" s="4"/>
      <c r="H86" s="4"/>
      <c r="K86" s="4"/>
      <c r="N86" s="4"/>
    </row>
    <row r="87" spans="5:23">
      <c r="E87" s="4"/>
      <c r="H87" s="4"/>
      <c r="N87" s="4"/>
    </row>
    <row r="88" spans="5:23">
      <c r="H88" s="4"/>
      <c r="N88" s="4"/>
    </row>
    <row r="89" spans="5:23">
      <c r="H89" s="4"/>
      <c r="N89" s="4"/>
    </row>
    <row r="90" spans="5:23">
      <c r="H90" s="4"/>
    </row>
    <row r="91" spans="5:23">
      <c r="H91" s="4"/>
    </row>
    <row r="92" spans="5:23">
      <c r="H92" s="4"/>
    </row>
    <row r="93" spans="5:23">
      <c r="H93" s="4"/>
    </row>
    <row r="94" spans="5:23">
      <c r="H94" s="4"/>
    </row>
    <row r="95" spans="5:23">
      <c r="H95" s="4"/>
    </row>
    <row r="96" spans="5:23">
      <c r="H96" s="4"/>
    </row>
    <row r="97" spans="8:8">
      <c r="H97" s="4"/>
    </row>
    <row r="98" spans="8:8">
      <c r="H98" s="4"/>
    </row>
    <row r="99" spans="8:8">
      <c r="H99" s="4"/>
    </row>
    <row r="100" spans="8:8">
      <c r="H100" s="4"/>
    </row>
    <row r="101" spans="8:8">
      <c r="H101" s="4"/>
    </row>
    <row r="102" spans="8:8">
      <c r="H102" s="4"/>
    </row>
    <row r="103" spans="8:8">
      <c r="H103" s="4"/>
    </row>
    <row r="104" spans="8:8">
      <c r="H104" s="4"/>
    </row>
    <row r="105" spans="8:8">
      <c r="H105" s="4"/>
    </row>
    <row r="106" spans="8:8">
      <c r="H106" s="4"/>
    </row>
    <row r="107" spans="8:8">
      <c r="H107" s="4"/>
    </row>
    <row r="108" spans="8:8">
      <c r="H108" s="4"/>
    </row>
    <row r="109" spans="8:8">
      <c r="H109" s="4"/>
    </row>
    <row r="110" spans="8:8">
      <c r="H110" s="4"/>
    </row>
  </sheetData>
  <mergeCells count="13">
    <mergeCell ref="D3:E3"/>
    <mergeCell ref="G3:H3"/>
    <mergeCell ref="J3:K3"/>
    <mergeCell ref="M3:N3"/>
    <mergeCell ref="V3:W3"/>
    <mergeCell ref="P3:Q3"/>
    <mergeCell ref="F3:F4"/>
    <mergeCell ref="I3:I4"/>
    <mergeCell ref="L3:L4"/>
    <mergeCell ref="O3:O4"/>
    <mergeCell ref="R3:R4"/>
    <mergeCell ref="S3:T3"/>
    <mergeCell ref="U3:U4"/>
  </mergeCells>
  <pageMargins left="0.75" right="0.75" top="1" bottom="1" header="0.5" footer="0.5"/>
  <pageSetup paperSize="9" scale="47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9" workbookViewId="0">
      <selection activeCell="F60" sqref="F60"/>
    </sheetView>
  </sheetViews>
  <sheetFormatPr baseColWidth="10" defaultColWidth="10.83203125" defaultRowHeight="16" x14ac:dyDescent="0"/>
  <cols>
    <col min="1" max="1" width="10.83203125" style="1"/>
    <col min="2" max="2" width="18.5" style="1" customWidth="1"/>
    <col min="3" max="3" width="36" style="1" customWidth="1"/>
    <col min="4" max="4" width="5.1640625" style="1" customWidth="1"/>
    <col min="5" max="9" width="13" style="1" customWidth="1"/>
    <col min="10" max="10" width="13" style="1" hidden="1" customWidth="1"/>
    <col min="11" max="16384" width="10.83203125" style="1"/>
  </cols>
  <sheetData>
    <row r="1" spans="1:10" ht="18">
      <c r="A1" s="2" t="s">
        <v>33</v>
      </c>
    </row>
    <row r="2" spans="1:10" ht="29" customHeight="1">
      <c r="E2" s="3"/>
      <c r="F2" s="3"/>
      <c r="G2" s="3"/>
    </row>
    <row r="3" spans="1:10" ht="27" customHeight="1">
      <c r="B3" s="76"/>
      <c r="C3" s="76"/>
      <c r="D3" s="76"/>
      <c r="E3" s="77" t="s">
        <v>2</v>
      </c>
      <c r="F3" s="77" t="s">
        <v>3</v>
      </c>
      <c r="G3" s="77" t="s">
        <v>22</v>
      </c>
      <c r="H3" s="77" t="s">
        <v>5</v>
      </c>
      <c r="I3" s="77" t="s">
        <v>48</v>
      </c>
      <c r="J3" s="77" t="s">
        <v>258</v>
      </c>
    </row>
    <row r="4" spans="1:10">
      <c r="B4" s="76"/>
      <c r="C4" s="76"/>
      <c r="D4" s="74"/>
      <c r="E4" s="73"/>
      <c r="F4" s="73"/>
      <c r="G4" s="73"/>
      <c r="H4" s="73"/>
      <c r="I4" s="73"/>
      <c r="J4" s="73"/>
    </row>
    <row r="5" spans="1:10">
      <c r="B5" s="76"/>
      <c r="C5" s="76" t="s">
        <v>34</v>
      </c>
      <c r="D5" s="74"/>
      <c r="E5" s="73">
        <v>100</v>
      </c>
      <c r="F5" s="73">
        <v>100</v>
      </c>
      <c r="G5" s="96">
        <v>100</v>
      </c>
      <c r="H5" s="96">
        <v>100</v>
      </c>
      <c r="I5" s="96">
        <v>100</v>
      </c>
      <c r="J5" s="96">
        <v>100</v>
      </c>
    </row>
    <row r="6" spans="1:10">
      <c r="B6" s="76"/>
      <c r="C6" s="76"/>
      <c r="D6" s="74"/>
      <c r="E6" s="73"/>
      <c r="F6" s="73"/>
      <c r="G6" s="73"/>
      <c r="H6" s="73"/>
      <c r="I6" s="73"/>
      <c r="J6" s="73"/>
    </row>
    <row r="7" spans="1:10">
      <c r="B7" s="76"/>
      <c r="C7" s="76" t="s">
        <v>6</v>
      </c>
      <c r="D7" s="74"/>
      <c r="E7" s="73">
        <v>100</v>
      </c>
      <c r="F7" s="73">
        <v>100</v>
      </c>
      <c r="G7" s="73">
        <v>200</v>
      </c>
      <c r="H7" s="73">
        <v>200</v>
      </c>
      <c r="I7" s="73">
        <v>200</v>
      </c>
      <c r="J7" s="73">
        <v>200</v>
      </c>
    </row>
    <row r="8" spans="1:10">
      <c r="B8" s="76"/>
      <c r="C8" s="76"/>
      <c r="D8" s="74"/>
      <c r="E8" s="73"/>
      <c r="F8" s="73"/>
      <c r="G8" s="73"/>
      <c r="H8" s="73"/>
      <c r="I8" s="73"/>
      <c r="J8" s="73"/>
    </row>
    <row r="9" spans="1:10">
      <c r="B9" s="76"/>
      <c r="C9" s="76" t="s">
        <v>31</v>
      </c>
      <c r="D9" s="74"/>
      <c r="E9" s="96">
        <v>12</v>
      </c>
      <c r="F9" s="96">
        <v>12</v>
      </c>
      <c r="G9" s="96">
        <v>12</v>
      </c>
      <c r="H9" s="96">
        <v>12</v>
      </c>
      <c r="I9" s="96">
        <v>12</v>
      </c>
      <c r="J9" s="96">
        <v>12</v>
      </c>
    </row>
    <row r="10" spans="1:10">
      <c r="B10" s="76"/>
      <c r="C10" s="76"/>
      <c r="D10" s="74"/>
      <c r="E10" s="73"/>
      <c r="F10" s="73"/>
      <c r="G10" s="73"/>
      <c r="H10" s="73"/>
      <c r="I10" s="73"/>
      <c r="J10" s="73"/>
    </row>
    <row r="11" spans="1:10">
      <c r="B11" s="76"/>
      <c r="C11" s="76" t="s">
        <v>32</v>
      </c>
      <c r="D11" s="74"/>
      <c r="E11" s="73">
        <v>400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</row>
    <row r="12" spans="1:10">
      <c r="B12" s="76"/>
      <c r="C12" s="76"/>
      <c r="D12" s="74"/>
      <c r="E12" s="73"/>
      <c r="F12" s="73"/>
      <c r="G12" s="73"/>
      <c r="H12" s="73"/>
      <c r="I12" s="73"/>
      <c r="J12" s="73"/>
    </row>
    <row r="13" spans="1:10">
      <c r="B13" s="76"/>
      <c r="C13" s="76" t="s">
        <v>49</v>
      </c>
      <c r="D13" s="74"/>
      <c r="E13" s="73">
        <f>-E5</f>
        <v>-100</v>
      </c>
      <c r="F13" s="73">
        <f t="shared" ref="F13" si="0">-F5</f>
        <v>-100</v>
      </c>
      <c r="G13" s="73">
        <v>-100</v>
      </c>
      <c r="H13" s="73">
        <v>-100</v>
      </c>
      <c r="I13" s="73">
        <v>-100</v>
      </c>
      <c r="J13" s="73">
        <v>-100</v>
      </c>
    </row>
    <row r="14" spans="1:10">
      <c r="B14" s="76"/>
      <c r="C14" s="76"/>
      <c r="D14" s="74"/>
      <c r="E14" s="73"/>
      <c r="F14" s="73"/>
      <c r="G14" s="73"/>
      <c r="H14" s="73"/>
      <c r="I14" s="73"/>
      <c r="J14" s="73"/>
    </row>
    <row r="15" spans="1:10">
      <c r="B15" s="76"/>
      <c r="C15" s="76" t="s">
        <v>44</v>
      </c>
      <c r="D15" s="74"/>
      <c r="E15" s="96">
        <v>4</v>
      </c>
      <c r="F15" s="73"/>
      <c r="G15" s="73"/>
      <c r="H15" s="73"/>
      <c r="I15" s="73"/>
      <c r="J15" s="73"/>
    </row>
    <row r="16" spans="1:10">
      <c r="B16" s="76"/>
      <c r="C16" s="76"/>
      <c r="D16" s="74"/>
      <c r="E16" s="73"/>
      <c r="F16" s="73"/>
      <c r="G16" s="73"/>
      <c r="H16" s="73"/>
      <c r="I16" s="73"/>
      <c r="J16" s="73"/>
    </row>
    <row r="17" spans="2:17">
      <c r="B17" s="76"/>
      <c r="C17" s="76" t="s">
        <v>50</v>
      </c>
      <c r="D17" s="74"/>
      <c r="E17" s="96">
        <v>4</v>
      </c>
      <c r="F17" s="96">
        <v>1</v>
      </c>
      <c r="G17" s="96">
        <v>1</v>
      </c>
      <c r="H17" s="96">
        <v>1</v>
      </c>
      <c r="I17" s="96">
        <v>1</v>
      </c>
      <c r="J17" s="96">
        <v>1</v>
      </c>
    </row>
    <row r="18" spans="2:17">
      <c r="B18" s="76"/>
      <c r="C18" s="76"/>
      <c r="D18" s="74"/>
      <c r="E18" s="73"/>
      <c r="F18" s="73"/>
      <c r="G18" s="73"/>
      <c r="H18" s="73"/>
      <c r="I18" s="73"/>
      <c r="J18" s="73"/>
    </row>
    <row r="19" spans="2:17">
      <c r="B19" s="76"/>
      <c r="C19" s="76" t="s">
        <v>59</v>
      </c>
      <c r="D19" s="74"/>
      <c r="E19" s="96">
        <v>5000</v>
      </c>
      <c r="F19" s="96">
        <v>10000</v>
      </c>
      <c r="G19" s="96">
        <v>20000</v>
      </c>
      <c r="H19" s="96">
        <v>40000</v>
      </c>
      <c r="I19" s="96">
        <v>80000</v>
      </c>
      <c r="J19" s="96">
        <v>80000</v>
      </c>
    </row>
    <row r="20" spans="2:17">
      <c r="B20" s="76"/>
      <c r="C20" s="76"/>
      <c r="D20" s="74"/>
      <c r="E20" s="78"/>
      <c r="F20" s="78"/>
      <c r="G20" s="78"/>
      <c r="H20" s="78"/>
      <c r="I20" s="78"/>
      <c r="J20" s="78"/>
    </row>
    <row r="21" spans="2:17">
      <c r="B21" s="76"/>
      <c r="C21" s="76" t="s">
        <v>60</v>
      </c>
      <c r="D21" s="74"/>
      <c r="E21" s="78">
        <v>10</v>
      </c>
      <c r="F21" s="78">
        <v>10</v>
      </c>
      <c r="G21" s="78">
        <v>10</v>
      </c>
      <c r="H21" s="78">
        <v>10</v>
      </c>
      <c r="I21" s="78">
        <v>10</v>
      </c>
      <c r="J21" s="78">
        <v>10</v>
      </c>
    </row>
    <row r="22" spans="2:17">
      <c r="B22" s="76"/>
      <c r="C22" s="76"/>
      <c r="D22" s="74"/>
      <c r="E22" s="78"/>
      <c r="F22" s="78"/>
      <c r="G22" s="78"/>
      <c r="H22" s="78"/>
      <c r="I22" s="78"/>
      <c r="J22" s="78"/>
    </row>
    <row r="23" spans="2:17">
      <c r="B23" s="76"/>
      <c r="C23" s="76" t="s">
        <v>70</v>
      </c>
      <c r="D23" s="74"/>
      <c r="E23" s="78">
        <v>0</v>
      </c>
      <c r="F23" s="78">
        <v>500</v>
      </c>
      <c r="G23" s="78">
        <v>500</v>
      </c>
      <c r="H23" s="78">
        <v>750</v>
      </c>
      <c r="I23" s="78">
        <v>750</v>
      </c>
      <c r="J23" s="78">
        <v>750</v>
      </c>
      <c r="L23" s="80"/>
      <c r="M23" s="80"/>
      <c r="N23" s="80"/>
      <c r="O23" s="80"/>
      <c r="P23" s="80"/>
      <c r="Q23" s="80"/>
    </row>
    <row r="24" spans="2:17">
      <c r="B24" s="76"/>
      <c r="C24" s="76"/>
      <c r="D24" s="74"/>
      <c r="E24" s="73"/>
      <c r="F24" s="73"/>
      <c r="G24" s="73"/>
      <c r="H24" s="73"/>
      <c r="I24" s="73"/>
      <c r="J24" s="73"/>
    </row>
    <row r="25" spans="2:17">
      <c r="B25" s="76"/>
      <c r="C25" s="76" t="s">
        <v>69</v>
      </c>
      <c r="D25" s="74"/>
      <c r="E25" s="78">
        <v>25</v>
      </c>
      <c r="F25" s="78">
        <v>50</v>
      </c>
      <c r="G25" s="78">
        <v>100</v>
      </c>
      <c r="H25" s="78">
        <v>100</v>
      </c>
      <c r="I25" s="78">
        <v>100</v>
      </c>
      <c r="J25" s="78">
        <v>100</v>
      </c>
    </row>
    <row r="26" spans="2:17">
      <c r="B26" s="76"/>
      <c r="C26" s="76"/>
      <c r="D26" s="74"/>
      <c r="E26" s="78"/>
      <c r="F26" s="78"/>
      <c r="G26" s="78"/>
      <c r="H26" s="78"/>
      <c r="I26" s="78"/>
      <c r="J26" s="78"/>
    </row>
    <row r="27" spans="2:17">
      <c r="B27" s="76"/>
      <c r="C27" s="76" t="s">
        <v>67</v>
      </c>
      <c r="D27" s="74"/>
      <c r="E27" s="78">
        <v>1</v>
      </c>
      <c r="F27" s="78">
        <v>1</v>
      </c>
      <c r="G27" s="78">
        <v>1</v>
      </c>
      <c r="H27" s="78">
        <v>1</v>
      </c>
      <c r="I27" s="78">
        <v>1</v>
      </c>
      <c r="J27" s="78">
        <v>1</v>
      </c>
    </row>
    <row r="28" spans="2:17">
      <c r="B28" s="76"/>
      <c r="C28" s="76"/>
      <c r="D28" s="74"/>
      <c r="E28" s="73"/>
      <c r="F28" s="73"/>
      <c r="G28" s="73"/>
      <c r="H28" s="73"/>
      <c r="I28" s="73"/>
      <c r="J28" s="73"/>
    </row>
    <row r="29" spans="2:17">
      <c r="B29" s="76"/>
      <c r="C29" s="76" t="s">
        <v>35</v>
      </c>
      <c r="D29" s="74"/>
      <c r="E29" s="96">
        <v>0</v>
      </c>
      <c r="F29" s="96">
        <v>15000</v>
      </c>
      <c r="G29" s="96">
        <v>30000</v>
      </c>
      <c r="H29" s="96">
        <v>60000</v>
      </c>
      <c r="I29" s="96">
        <v>120000</v>
      </c>
      <c r="J29" s="96">
        <v>120000</v>
      </c>
    </row>
    <row r="30" spans="2:17">
      <c r="B30" s="76"/>
      <c r="C30" s="76"/>
      <c r="D30" s="74"/>
      <c r="E30" s="73"/>
      <c r="F30" s="73"/>
      <c r="G30" s="73"/>
      <c r="H30" s="73"/>
      <c r="I30" s="73"/>
      <c r="J30" s="73"/>
    </row>
    <row r="31" spans="2:17">
      <c r="B31" s="76"/>
      <c r="C31" s="76" t="s">
        <v>36</v>
      </c>
      <c r="D31" s="74"/>
      <c r="E31" s="96">
        <v>2</v>
      </c>
      <c r="F31" s="96">
        <v>4</v>
      </c>
      <c r="G31" s="96">
        <v>6</v>
      </c>
      <c r="H31" s="96">
        <v>8</v>
      </c>
      <c r="I31" s="96">
        <v>10</v>
      </c>
      <c r="J31" s="96">
        <v>10</v>
      </c>
    </row>
    <row r="32" spans="2:17">
      <c r="B32" s="76"/>
      <c r="C32" s="76"/>
      <c r="D32" s="74"/>
      <c r="E32" s="73"/>
      <c r="F32" s="73"/>
      <c r="G32" s="73"/>
      <c r="H32" s="73"/>
      <c r="I32" s="73"/>
      <c r="J32" s="73"/>
    </row>
    <row r="33" spans="2:10">
      <c r="B33" s="76"/>
      <c r="C33" s="76" t="s">
        <v>66</v>
      </c>
      <c r="D33" s="74"/>
      <c r="E33" s="78">
        <v>2</v>
      </c>
      <c r="F33" s="78">
        <v>2</v>
      </c>
      <c r="G33" s="78">
        <v>2</v>
      </c>
      <c r="H33" s="78">
        <v>2</v>
      </c>
      <c r="I33" s="78">
        <v>2</v>
      </c>
      <c r="J33" s="78">
        <v>2</v>
      </c>
    </row>
    <row r="34" spans="2:10">
      <c r="B34" s="76"/>
      <c r="C34" s="76" t="s">
        <v>63</v>
      </c>
      <c r="D34" s="74"/>
      <c r="E34" s="78">
        <v>4</v>
      </c>
      <c r="F34" s="78">
        <v>4</v>
      </c>
      <c r="G34" s="78">
        <v>4</v>
      </c>
      <c r="H34" s="78">
        <v>4</v>
      </c>
      <c r="I34" s="78">
        <v>4</v>
      </c>
      <c r="J34" s="78">
        <v>4</v>
      </c>
    </row>
    <row r="35" spans="2:10">
      <c r="B35" s="76"/>
      <c r="C35" s="76"/>
      <c r="D35" s="74"/>
      <c r="E35" s="78"/>
      <c r="F35" s="78"/>
      <c r="G35" s="78"/>
      <c r="H35" s="78"/>
      <c r="I35" s="78"/>
      <c r="J35" s="78"/>
    </row>
    <row r="36" spans="2:10">
      <c r="B36" s="76"/>
      <c r="C36" s="76" t="s">
        <v>64</v>
      </c>
      <c r="D36" s="74"/>
      <c r="E36" s="78">
        <v>2</v>
      </c>
      <c r="F36" s="78">
        <v>2</v>
      </c>
      <c r="G36" s="78">
        <v>2</v>
      </c>
      <c r="H36" s="78">
        <v>2</v>
      </c>
      <c r="I36" s="78">
        <v>2</v>
      </c>
      <c r="J36" s="78">
        <v>2</v>
      </c>
    </row>
    <row r="37" spans="2:10">
      <c r="B37" s="76"/>
      <c r="C37" s="76" t="s">
        <v>65</v>
      </c>
      <c r="D37" s="74"/>
      <c r="E37" s="78">
        <v>2</v>
      </c>
      <c r="F37" s="78">
        <v>2</v>
      </c>
      <c r="G37" s="78">
        <v>2</v>
      </c>
      <c r="H37" s="78">
        <v>2</v>
      </c>
      <c r="I37" s="78">
        <v>2</v>
      </c>
      <c r="J37" s="78">
        <v>2</v>
      </c>
    </row>
    <row r="38" spans="2:10">
      <c r="B38" s="76"/>
      <c r="C38" s="76"/>
      <c r="D38" s="74"/>
      <c r="E38" s="73"/>
      <c r="F38" s="73"/>
      <c r="G38" s="73"/>
      <c r="H38" s="73"/>
      <c r="I38" s="73"/>
      <c r="J38" s="73"/>
    </row>
    <row r="39" spans="2:10">
      <c r="B39" s="76"/>
      <c r="C39" s="76"/>
      <c r="D39" s="74"/>
      <c r="E39" s="73"/>
      <c r="F39" s="73"/>
      <c r="G39" s="73"/>
      <c r="H39" s="73"/>
      <c r="I39" s="73"/>
      <c r="J39" s="73"/>
    </row>
    <row r="40" spans="2:10" ht="27" customHeight="1">
      <c r="B40" s="76"/>
      <c r="C40" s="76"/>
      <c r="D40" s="76"/>
      <c r="E40" s="77" t="s">
        <v>2</v>
      </c>
      <c r="F40" s="77" t="s">
        <v>3</v>
      </c>
      <c r="G40" s="77" t="s">
        <v>22</v>
      </c>
      <c r="H40" s="77" t="s">
        <v>5</v>
      </c>
      <c r="I40" s="77" t="s">
        <v>48</v>
      </c>
      <c r="J40" s="77" t="s">
        <v>258</v>
      </c>
    </row>
    <row r="41" spans="2:10">
      <c r="B41" s="76"/>
      <c r="C41" s="76"/>
      <c r="D41" s="74"/>
      <c r="E41" s="73"/>
      <c r="F41" s="73"/>
      <c r="G41" s="73"/>
      <c r="H41" s="73"/>
      <c r="I41" s="73"/>
      <c r="J41" s="73"/>
    </row>
    <row r="42" spans="2:10" hidden="1">
      <c r="B42" s="86"/>
      <c r="C42" s="86" t="s">
        <v>57</v>
      </c>
      <c r="D42" s="86"/>
      <c r="E42" s="87">
        <v>0.1</v>
      </c>
      <c r="F42" s="87">
        <v>0.1</v>
      </c>
      <c r="G42" s="87">
        <v>0.1</v>
      </c>
      <c r="H42" s="87">
        <v>0.1</v>
      </c>
      <c r="I42" s="87">
        <v>0.1</v>
      </c>
      <c r="J42" s="87">
        <v>0.1</v>
      </c>
    </row>
    <row r="43" spans="2:10" hidden="1">
      <c r="B43" s="76"/>
      <c r="C43" s="76"/>
      <c r="D43" s="74"/>
      <c r="E43" s="73"/>
      <c r="F43" s="73"/>
      <c r="G43" s="73"/>
      <c r="H43" s="73"/>
      <c r="I43" s="73"/>
      <c r="J43" s="73"/>
    </row>
    <row r="44" spans="2:10">
      <c r="B44" s="76"/>
      <c r="C44" s="76"/>
      <c r="D44" s="74"/>
      <c r="E44" s="73"/>
      <c r="F44" s="73"/>
      <c r="G44" s="73"/>
      <c r="H44" s="73"/>
      <c r="I44" s="73"/>
      <c r="J44" s="73"/>
    </row>
    <row r="45" spans="2:10">
      <c r="B45" s="76" t="s">
        <v>37</v>
      </c>
      <c r="C45" s="76" t="s">
        <v>38</v>
      </c>
      <c r="D45" s="74"/>
      <c r="E45" s="75">
        <v>0.1</v>
      </c>
      <c r="F45" s="75">
        <v>0.1</v>
      </c>
      <c r="G45" s="75">
        <v>0.15</v>
      </c>
      <c r="H45" s="75">
        <v>0.15</v>
      </c>
      <c r="I45" s="75">
        <v>0.15</v>
      </c>
      <c r="J45" s="75">
        <v>0.15</v>
      </c>
    </row>
    <row r="46" spans="2:10">
      <c r="B46" s="76"/>
      <c r="C46" s="76" t="s">
        <v>11</v>
      </c>
      <c r="D46" s="74"/>
      <c r="E46" s="75">
        <v>0.05</v>
      </c>
      <c r="F46" s="75">
        <v>0.05</v>
      </c>
      <c r="G46" s="75">
        <v>0.05</v>
      </c>
      <c r="H46" s="75">
        <v>0.05</v>
      </c>
      <c r="I46" s="75">
        <v>0.05</v>
      </c>
      <c r="J46" s="75">
        <v>0.05</v>
      </c>
    </row>
    <row r="47" spans="2:10">
      <c r="B47" s="76"/>
      <c r="C47" s="76" t="s">
        <v>39</v>
      </c>
      <c r="D47" s="74"/>
      <c r="E47" s="286">
        <v>0.1</v>
      </c>
      <c r="F47" s="286">
        <v>0.1</v>
      </c>
      <c r="G47" s="75">
        <v>0.15</v>
      </c>
      <c r="H47" s="75">
        <v>0.15</v>
      </c>
      <c r="I47" s="75">
        <v>0.15</v>
      </c>
      <c r="J47" s="75">
        <v>0.15</v>
      </c>
    </row>
    <row r="48" spans="2:10">
      <c r="B48" s="76"/>
      <c r="C48" s="76" t="s">
        <v>51</v>
      </c>
      <c r="D48" s="74"/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</row>
    <row r="49" spans="2:10">
      <c r="B49" s="76"/>
      <c r="C49" s="76" t="s">
        <v>14</v>
      </c>
      <c r="D49" s="74"/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</row>
    <row r="50" spans="2:10">
      <c r="B50" s="76"/>
      <c r="C50" s="76" t="s">
        <v>19</v>
      </c>
      <c r="D50" s="74"/>
      <c r="E50" s="286">
        <v>0.1</v>
      </c>
      <c r="F50" s="286">
        <v>0.1</v>
      </c>
      <c r="G50" s="75">
        <v>0.15</v>
      </c>
      <c r="H50" s="75">
        <v>0.15</v>
      </c>
      <c r="I50" s="75">
        <v>0.15</v>
      </c>
      <c r="J50" s="75">
        <v>0.15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1"/>
  <sheetViews>
    <sheetView topLeftCell="B1" zoomScale="150" zoomScaleNormal="150" zoomScalePageLayoutView="150" workbookViewId="0">
      <pane xSplit="1" ySplit="20" topLeftCell="C48" activePane="bottomRight" state="frozen"/>
      <selection activeCell="B1" sqref="B1"/>
      <selection pane="topRight" activeCell="C1" sqref="C1"/>
      <selection pane="bottomLeft" activeCell="B21" sqref="B21"/>
      <selection pane="bottomRight" activeCell="G22" sqref="G22"/>
    </sheetView>
  </sheetViews>
  <sheetFormatPr baseColWidth="10" defaultColWidth="10.83203125" defaultRowHeight="16" x14ac:dyDescent="0"/>
  <cols>
    <col min="1" max="1" width="10.83203125" style="5"/>
    <col min="2" max="2" width="29.6640625" style="5" customWidth="1"/>
    <col min="3" max="3" width="10.83203125" style="5"/>
    <col min="4" max="4" width="3.6640625" style="5" customWidth="1"/>
    <col min="5" max="5" width="8.33203125" style="5" customWidth="1"/>
    <col min="6" max="6" width="10.5" style="5" customWidth="1"/>
    <col min="7" max="7" width="8.33203125" style="5" customWidth="1"/>
    <col min="8" max="8" width="12.5" style="5" hidden="1" customWidth="1"/>
    <col min="9" max="11" width="9.5" style="5" customWidth="1"/>
    <col min="12" max="12" width="12.83203125" style="5" hidden="1" customWidth="1"/>
    <col min="13" max="15" width="10" style="5" customWidth="1"/>
    <col min="16" max="16" width="16.1640625" style="5" hidden="1" customWidth="1"/>
    <col min="17" max="19" width="10.1640625" style="5" customWidth="1"/>
    <col min="20" max="20" width="16.1640625" style="5" hidden="1" customWidth="1"/>
    <col min="21" max="21" width="12.6640625" style="5" customWidth="1"/>
    <col min="22" max="25" width="16.1640625" style="5" customWidth="1"/>
    <col min="26" max="26" width="14.1640625" style="5" customWidth="1"/>
    <col min="27" max="30" width="16.1640625" style="5" customWidth="1"/>
    <col min="31" max="31" width="15.1640625" style="5" customWidth="1"/>
    <col min="32" max="35" width="16.1640625" style="5" customWidth="1"/>
    <col min="36" max="36" width="15" style="5" customWidth="1"/>
    <col min="37" max="40" width="16.1640625" style="5" customWidth="1"/>
    <col min="41" max="41" width="14.83203125" style="5" customWidth="1"/>
    <col min="42" max="16384" width="10.83203125" style="5"/>
  </cols>
  <sheetData>
    <row r="1" spans="1:41">
      <c r="B1" s="5" t="s">
        <v>140</v>
      </c>
    </row>
    <row r="2" spans="1:41">
      <c r="B2" s="5" t="s">
        <v>219</v>
      </c>
      <c r="C2" s="205">
        <f>'CostRev comparison'!$D$5</f>
        <v>1</v>
      </c>
      <c r="V2" s="5" t="s">
        <v>141</v>
      </c>
      <c r="W2" s="231">
        <f>'[1]Cost Assumptions'!$F$3</f>
        <v>0.15</v>
      </c>
      <c r="AA2" s="5" t="s">
        <v>142</v>
      </c>
      <c r="AB2" s="231">
        <f>'[1]Cost Assumptions'!$G$3</f>
        <v>0.15</v>
      </c>
      <c r="AF2" s="5" t="s">
        <v>143</v>
      </c>
      <c r="AG2" s="231">
        <f>'[1]Cost Assumptions'!$H$3</f>
        <v>0.15</v>
      </c>
      <c r="AK2" s="5" t="s">
        <v>144</v>
      </c>
      <c r="AL2" s="231">
        <f>'[1]Cost Assumptions'!$I$3</f>
        <v>0.15</v>
      </c>
    </row>
    <row r="4" spans="1:41" ht="17" thickBot="1">
      <c r="B4" s="5" t="s">
        <v>218</v>
      </c>
    </row>
    <row r="5" spans="1:41" ht="27" customHeight="1">
      <c r="A5" s="99"/>
      <c r="B5" s="238"/>
      <c r="C5" s="238" t="s">
        <v>145</v>
      </c>
      <c r="D5" s="238"/>
      <c r="E5" s="239" t="s">
        <v>146</v>
      </c>
      <c r="F5" s="240" t="s">
        <v>147</v>
      </c>
      <c r="G5" s="240" t="s">
        <v>148</v>
      </c>
      <c r="H5" s="241" t="s">
        <v>149</v>
      </c>
      <c r="I5" s="240" t="s">
        <v>150</v>
      </c>
      <c r="J5" s="240" t="s">
        <v>151</v>
      </c>
      <c r="K5" s="240" t="s">
        <v>152</v>
      </c>
      <c r="L5" s="241" t="s">
        <v>153</v>
      </c>
      <c r="M5" s="240" t="s">
        <v>154</v>
      </c>
      <c r="N5" s="240" t="s">
        <v>155</v>
      </c>
      <c r="O5" s="240" t="s">
        <v>156</v>
      </c>
      <c r="P5" s="241" t="s">
        <v>157</v>
      </c>
      <c r="Q5" s="240" t="s">
        <v>158</v>
      </c>
      <c r="R5" s="240" t="s">
        <v>159</v>
      </c>
      <c r="S5" s="240" t="s">
        <v>160</v>
      </c>
      <c r="T5" s="241" t="s">
        <v>161</v>
      </c>
      <c r="U5" s="242" t="s">
        <v>2</v>
      </c>
      <c r="V5" s="239" t="s">
        <v>162</v>
      </c>
      <c r="W5" s="240" t="s">
        <v>163</v>
      </c>
      <c r="X5" s="240" t="s">
        <v>164</v>
      </c>
      <c r="Y5" s="240" t="s">
        <v>165</v>
      </c>
      <c r="Z5" s="242" t="s">
        <v>3</v>
      </c>
      <c r="AA5" s="239" t="s">
        <v>166</v>
      </c>
      <c r="AB5" s="240" t="s">
        <v>167</v>
      </c>
      <c r="AC5" s="240" t="s">
        <v>168</v>
      </c>
      <c r="AD5" s="240" t="s">
        <v>169</v>
      </c>
      <c r="AE5" s="242" t="s">
        <v>22</v>
      </c>
      <c r="AF5" s="239" t="s">
        <v>170</v>
      </c>
      <c r="AG5" s="240" t="s">
        <v>171</v>
      </c>
      <c r="AH5" s="240" t="s">
        <v>172</v>
      </c>
      <c r="AI5" s="243" t="s">
        <v>173</v>
      </c>
      <c r="AJ5" s="244" t="s">
        <v>5</v>
      </c>
      <c r="AK5" s="239" t="s">
        <v>174</v>
      </c>
      <c r="AL5" s="240" t="s">
        <v>175</v>
      </c>
      <c r="AM5" s="240" t="s">
        <v>176</v>
      </c>
      <c r="AN5" s="240" t="s">
        <v>177</v>
      </c>
      <c r="AO5" s="242" t="s">
        <v>48</v>
      </c>
    </row>
    <row r="6" spans="1:41" hidden="1">
      <c r="B6" s="245"/>
      <c r="C6" s="245"/>
      <c r="D6" s="245"/>
      <c r="E6" s="110"/>
      <c r="F6" s="111"/>
      <c r="G6" s="111"/>
      <c r="H6" s="112"/>
      <c r="I6" s="111"/>
      <c r="J6" s="111"/>
      <c r="K6" s="111"/>
      <c r="L6" s="112"/>
      <c r="M6" s="111"/>
      <c r="N6" s="111"/>
      <c r="O6" s="111"/>
      <c r="P6" s="112"/>
      <c r="Q6" s="111"/>
      <c r="R6" s="111"/>
      <c r="S6" s="111"/>
      <c r="T6" s="112"/>
      <c r="U6" s="115"/>
      <c r="V6" s="110"/>
      <c r="W6" s="111"/>
      <c r="X6" s="111"/>
      <c r="Y6" s="111"/>
      <c r="Z6" s="115"/>
      <c r="AA6" s="110"/>
      <c r="AB6" s="111"/>
      <c r="AC6" s="111"/>
      <c r="AD6" s="111"/>
      <c r="AE6" s="115"/>
      <c r="AF6" s="110"/>
      <c r="AG6" s="111"/>
      <c r="AH6" s="111"/>
      <c r="AI6" s="116"/>
      <c r="AJ6" s="130"/>
      <c r="AK6" s="110"/>
      <c r="AL6" s="111"/>
      <c r="AM6" s="111"/>
      <c r="AN6" s="111"/>
      <c r="AO6" s="115"/>
    </row>
    <row r="7" spans="1:41" hidden="1">
      <c r="A7" s="109" t="s">
        <v>178</v>
      </c>
      <c r="B7" s="245"/>
      <c r="C7" s="245"/>
      <c r="D7" s="245"/>
      <c r="E7" s="110"/>
      <c r="F7" s="111"/>
      <c r="G7" s="111"/>
      <c r="H7" s="112"/>
      <c r="I7" s="111"/>
      <c r="J7" s="111"/>
      <c r="K7" s="111"/>
      <c r="L7" s="112"/>
      <c r="M7" s="111"/>
      <c r="N7" s="111"/>
      <c r="O7" s="111"/>
      <c r="P7" s="112"/>
      <c r="Q7" s="111"/>
      <c r="R7" s="111"/>
      <c r="S7" s="111"/>
      <c r="T7" s="112"/>
      <c r="U7" s="115"/>
      <c r="V7" s="110"/>
      <c r="W7" s="111"/>
      <c r="X7" s="111"/>
      <c r="Y7" s="111"/>
      <c r="Z7" s="115"/>
      <c r="AA7" s="110"/>
      <c r="AB7" s="111"/>
      <c r="AC7" s="111"/>
      <c r="AD7" s="111"/>
      <c r="AE7" s="115"/>
      <c r="AF7" s="110"/>
      <c r="AG7" s="111"/>
      <c r="AH7" s="111"/>
      <c r="AI7" s="116"/>
      <c r="AJ7" s="130"/>
      <c r="AK7" s="110"/>
      <c r="AL7" s="111"/>
      <c r="AM7" s="111"/>
      <c r="AN7" s="111"/>
      <c r="AO7" s="115"/>
    </row>
    <row r="8" spans="1:41" hidden="1">
      <c r="B8" s="245" t="s">
        <v>179</v>
      </c>
      <c r="C8" s="245"/>
      <c r="D8" s="245"/>
      <c r="E8" s="110"/>
      <c r="F8" s="111"/>
      <c r="G8" s="111"/>
      <c r="H8" s="112"/>
      <c r="I8" s="111"/>
      <c r="J8" s="111"/>
      <c r="K8" s="111"/>
      <c r="L8" s="112"/>
      <c r="M8" s="111"/>
      <c r="N8" s="111"/>
      <c r="O8" s="111"/>
      <c r="P8" s="112"/>
      <c r="Q8" s="111"/>
      <c r="R8" s="111"/>
      <c r="S8" s="111"/>
      <c r="T8" s="112"/>
      <c r="U8" s="115">
        <f>SUM(E8:G8)+SUM(I8:K8)+SUM(M8:O8)+SUM(Q8:S8)</f>
        <v>0</v>
      </c>
      <c r="V8" s="110"/>
      <c r="W8" s="111"/>
      <c r="X8" s="111"/>
      <c r="Y8" s="111"/>
      <c r="Z8" s="115"/>
      <c r="AA8" s="110"/>
      <c r="AB8" s="111"/>
      <c r="AC8" s="111"/>
      <c r="AD8" s="111"/>
      <c r="AE8" s="115"/>
      <c r="AF8" s="110"/>
      <c r="AG8" s="111"/>
      <c r="AH8" s="111"/>
      <c r="AI8" s="116"/>
      <c r="AJ8" s="130"/>
      <c r="AK8" s="110"/>
      <c r="AL8" s="111"/>
      <c r="AM8" s="111"/>
      <c r="AN8" s="111"/>
      <c r="AO8" s="115"/>
    </row>
    <row r="9" spans="1:41" hidden="1">
      <c r="B9" s="245" t="s">
        <v>180</v>
      </c>
      <c r="C9" s="245"/>
      <c r="D9" s="245"/>
      <c r="E9" s="110"/>
      <c r="F9" s="111"/>
      <c r="G9" s="111"/>
      <c r="H9" s="112"/>
      <c r="I9" s="111"/>
      <c r="J9" s="111"/>
      <c r="K9" s="111"/>
      <c r="L9" s="112"/>
      <c r="M9" s="111"/>
      <c r="N9" s="111"/>
      <c r="O9" s="111"/>
      <c r="P9" s="112"/>
      <c r="Q9" s="111"/>
      <c r="R9" s="111"/>
      <c r="S9" s="111"/>
      <c r="T9" s="112"/>
      <c r="U9" s="115">
        <f>SUM(E9:G9)+SUM(I9:K9)+SUM(M9:O9)+SUM(Q9:S9)</f>
        <v>0</v>
      </c>
      <c r="V9" s="110"/>
      <c r="W9" s="111"/>
      <c r="X9" s="111"/>
      <c r="Y9" s="111"/>
      <c r="Z9" s="115"/>
      <c r="AA9" s="110"/>
      <c r="AB9" s="111"/>
      <c r="AC9" s="111"/>
      <c r="AD9" s="111"/>
      <c r="AE9" s="115"/>
      <c r="AF9" s="110"/>
      <c r="AG9" s="111"/>
      <c r="AH9" s="111"/>
      <c r="AI9" s="116"/>
      <c r="AJ9" s="130"/>
      <c r="AK9" s="110"/>
      <c r="AL9" s="111"/>
      <c r="AM9" s="111"/>
      <c r="AN9" s="111"/>
      <c r="AO9" s="115"/>
    </row>
    <row r="10" spans="1:41" hidden="1">
      <c r="B10" s="245" t="s">
        <v>181</v>
      </c>
      <c r="C10" s="245"/>
      <c r="D10" s="245"/>
      <c r="E10" s="110"/>
      <c r="F10" s="111"/>
      <c r="G10" s="111"/>
      <c r="H10" s="112"/>
      <c r="I10" s="111"/>
      <c r="J10" s="111"/>
      <c r="K10" s="111"/>
      <c r="L10" s="112"/>
      <c r="M10" s="111"/>
      <c r="N10" s="111"/>
      <c r="O10" s="111"/>
      <c r="P10" s="112"/>
      <c r="Q10" s="111"/>
      <c r="R10" s="111"/>
      <c r="S10" s="111"/>
      <c r="T10" s="112"/>
      <c r="U10" s="115">
        <f>SUM(E10:G10)+SUM(I10:K10)+SUM(M10:O10)+SUM(Q10:S10)</f>
        <v>0</v>
      </c>
      <c r="V10" s="110"/>
      <c r="W10" s="111"/>
      <c r="X10" s="111"/>
      <c r="Y10" s="111"/>
      <c r="Z10" s="115"/>
      <c r="AA10" s="110"/>
      <c r="AB10" s="111"/>
      <c r="AC10" s="111"/>
      <c r="AD10" s="111"/>
      <c r="AE10" s="115"/>
      <c r="AF10" s="110"/>
      <c r="AG10" s="111"/>
      <c r="AH10" s="111"/>
      <c r="AI10" s="116"/>
      <c r="AJ10" s="130"/>
      <c r="AK10" s="110"/>
      <c r="AL10" s="111"/>
      <c r="AM10" s="111"/>
      <c r="AN10" s="111"/>
      <c r="AO10" s="115"/>
    </row>
    <row r="11" spans="1:41" hidden="1">
      <c r="B11" s="245" t="s">
        <v>182</v>
      </c>
      <c r="C11" s="245"/>
      <c r="D11" s="245"/>
      <c r="E11" s="110"/>
      <c r="F11" s="111"/>
      <c r="G11" s="111"/>
      <c r="H11" s="112"/>
      <c r="I11" s="111"/>
      <c r="J11" s="111"/>
      <c r="K11" s="111"/>
      <c r="L11" s="112"/>
      <c r="M11" s="111"/>
      <c r="N11" s="111"/>
      <c r="O11" s="111"/>
      <c r="P11" s="112"/>
      <c r="Q11" s="111"/>
      <c r="R11" s="111"/>
      <c r="S11" s="111"/>
      <c r="T11" s="112"/>
      <c r="U11" s="115">
        <f>SUM(E11:G11)+SUM(I11:K11)+SUM(M11:O11)+SUM(Q11:S11)</f>
        <v>0</v>
      </c>
      <c r="V11" s="110"/>
      <c r="W11" s="111"/>
      <c r="X11" s="111"/>
      <c r="Y11" s="111"/>
      <c r="Z11" s="115"/>
      <c r="AA11" s="110"/>
      <c r="AB11" s="111"/>
      <c r="AC11" s="111"/>
      <c r="AD11" s="111"/>
      <c r="AE11" s="115"/>
      <c r="AF11" s="110"/>
      <c r="AG11" s="111"/>
      <c r="AH11" s="111"/>
      <c r="AI11" s="116"/>
      <c r="AJ11" s="130"/>
      <c r="AK11" s="110"/>
      <c r="AL11" s="111"/>
      <c r="AM11" s="111"/>
      <c r="AN11" s="111"/>
      <c r="AO11" s="115"/>
    </row>
    <row r="12" spans="1:41" hidden="1">
      <c r="B12" s="245"/>
      <c r="C12" s="245"/>
      <c r="D12" s="245"/>
      <c r="E12" s="110"/>
      <c r="F12" s="111"/>
      <c r="G12" s="111"/>
      <c r="H12" s="112"/>
      <c r="I12" s="111"/>
      <c r="J12" s="111"/>
      <c r="K12" s="111"/>
      <c r="L12" s="112"/>
      <c r="M12" s="111"/>
      <c r="N12" s="111"/>
      <c r="O12" s="111"/>
      <c r="P12" s="112"/>
      <c r="Q12" s="111"/>
      <c r="R12" s="111"/>
      <c r="S12" s="111"/>
      <c r="T12" s="112"/>
      <c r="U12" s="115">
        <f>SUM(E12:G12)+SUM(I12:K12)+SUM(M12:O12)+SUM(Q12:S12)</f>
        <v>0</v>
      </c>
      <c r="V12" s="110"/>
      <c r="W12" s="111"/>
      <c r="X12" s="111"/>
      <c r="Y12" s="111"/>
      <c r="Z12" s="115"/>
      <c r="AA12" s="110"/>
      <c r="AB12" s="111"/>
      <c r="AC12" s="111"/>
      <c r="AD12" s="111"/>
      <c r="AE12" s="115"/>
      <c r="AF12" s="110"/>
      <c r="AG12" s="111"/>
      <c r="AH12" s="111"/>
      <c r="AI12" s="116"/>
      <c r="AJ12" s="130"/>
      <c r="AK12" s="110"/>
      <c r="AL12" s="111"/>
      <c r="AM12" s="111"/>
      <c r="AN12" s="111"/>
      <c r="AO12" s="115"/>
    </row>
    <row r="13" spans="1:41" hidden="1">
      <c r="B13" s="245"/>
      <c r="C13" s="245"/>
      <c r="D13" s="245"/>
      <c r="E13" s="120"/>
      <c r="F13" s="121"/>
      <c r="G13" s="121"/>
      <c r="H13" s="122">
        <f>SUM(H8:H12)</f>
        <v>0</v>
      </c>
      <c r="I13" s="121"/>
      <c r="J13" s="121"/>
      <c r="K13" s="121"/>
      <c r="L13" s="122">
        <f t="shared" ref="L13:Y13" si="0">SUM(L8:L12)</f>
        <v>0</v>
      </c>
      <c r="M13" s="121"/>
      <c r="N13" s="121"/>
      <c r="O13" s="121"/>
      <c r="P13" s="122">
        <f t="shared" si="0"/>
        <v>0</v>
      </c>
      <c r="Q13" s="121"/>
      <c r="R13" s="121"/>
      <c r="S13" s="121"/>
      <c r="T13" s="122">
        <f t="shared" si="0"/>
        <v>0</v>
      </c>
      <c r="U13" s="246">
        <f>SUM(U8:U12)</f>
        <v>0</v>
      </c>
      <c r="V13" s="120">
        <f t="shared" si="0"/>
        <v>0</v>
      </c>
      <c r="W13" s="121">
        <f t="shared" si="0"/>
        <v>0</v>
      </c>
      <c r="X13" s="121">
        <f t="shared" si="0"/>
        <v>0</v>
      </c>
      <c r="Y13" s="121">
        <f t="shared" si="0"/>
        <v>0</v>
      </c>
      <c r="Z13" s="246"/>
      <c r="AA13" s="120">
        <f>SUM(AA8:AA12)</f>
        <v>0</v>
      </c>
      <c r="AB13" s="121">
        <f>SUM(AB8:AB12)</f>
        <v>0</v>
      </c>
      <c r="AC13" s="121">
        <f>SUM(AC8:AC12)</f>
        <v>0</v>
      </c>
      <c r="AD13" s="121">
        <f>SUM(AD8:AD12)</f>
        <v>0</v>
      </c>
      <c r="AE13" s="246"/>
      <c r="AF13" s="120">
        <f>SUM(AF8:AF12)</f>
        <v>0</v>
      </c>
      <c r="AG13" s="121">
        <f>SUM(AG8:AG12)</f>
        <v>0</v>
      </c>
      <c r="AH13" s="121">
        <f>SUM(AH8:AH12)</f>
        <v>0</v>
      </c>
      <c r="AI13" s="247">
        <f>SUM(AI8:AI12)</f>
        <v>0</v>
      </c>
      <c r="AJ13" s="248"/>
      <c r="AK13" s="120">
        <f>SUM(AK8:AK12)</f>
        <v>0</v>
      </c>
      <c r="AL13" s="121">
        <f>SUM(AL8:AL12)</f>
        <v>0</v>
      </c>
      <c r="AM13" s="121">
        <f>SUM(AM8:AM12)</f>
        <v>0</v>
      </c>
      <c r="AN13" s="121">
        <f>SUM(AN8:AN12)</f>
        <v>0</v>
      </c>
      <c r="AO13" s="246"/>
    </row>
    <row r="14" spans="1:41" hidden="1">
      <c r="B14" s="245"/>
      <c r="C14" s="245"/>
      <c r="D14" s="245"/>
      <c r="E14" s="110"/>
      <c r="F14" s="111"/>
      <c r="G14" s="111"/>
      <c r="H14" s="112"/>
      <c r="I14" s="111"/>
      <c r="J14" s="111"/>
      <c r="K14" s="111"/>
      <c r="L14" s="112"/>
      <c r="M14" s="111"/>
      <c r="N14" s="111"/>
      <c r="O14" s="111"/>
      <c r="P14" s="112"/>
      <c r="Q14" s="111"/>
      <c r="R14" s="111"/>
      <c r="S14" s="111"/>
      <c r="T14" s="112"/>
      <c r="U14" s="115"/>
      <c r="V14" s="110"/>
      <c r="W14" s="111"/>
      <c r="X14" s="111"/>
      <c r="Y14" s="111"/>
      <c r="Z14" s="115"/>
      <c r="AA14" s="110"/>
      <c r="AB14" s="111"/>
      <c r="AC14" s="111"/>
      <c r="AD14" s="111"/>
      <c r="AE14" s="115"/>
      <c r="AF14" s="110"/>
      <c r="AG14" s="111"/>
      <c r="AH14" s="111"/>
      <c r="AI14" s="116"/>
      <c r="AJ14" s="130"/>
      <c r="AK14" s="110"/>
      <c r="AL14" s="111"/>
      <c r="AM14" s="111"/>
      <c r="AN14" s="111"/>
      <c r="AO14" s="115"/>
    </row>
    <row r="15" spans="1:41" hidden="1">
      <c r="B15" s="245" t="s">
        <v>183</v>
      </c>
      <c r="C15" s="245"/>
      <c r="D15" s="245"/>
      <c r="E15" s="110"/>
      <c r="F15" s="111"/>
      <c r="G15" s="111"/>
      <c r="H15" s="112">
        <f>H13*'[1]Cost Assumptions'!$E$53</f>
        <v>0</v>
      </c>
      <c r="I15" s="111"/>
      <c r="J15" s="111"/>
      <c r="K15" s="111"/>
      <c r="L15" s="112">
        <f>L13*'[1]Cost Assumptions'!$E$53</f>
        <v>0</v>
      </c>
      <c r="M15" s="111"/>
      <c r="N15" s="111"/>
      <c r="O15" s="111"/>
      <c r="P15" s="112">
        <f>P13*'[1]Cost Assumptions'!$E$53</f>
        <v>0</v>
      </c>
      <c r="Q15" s="111"/>
      <c r="R15" s="111"/>
      <c r="S15" s="111"/>
      <c r="T15" s="112">
        <f>T13*'[1]Cost Assumptions'!$E$53</f>
        <v>0</v>
      </c>
      <c r="U15" s="115">
        <f>SUM(E15:G15)+SUM(I15:K15)+SUM(M15:O15)+SUM(Q15:S15)</f>
        <v>0</v>
      </c>
      <c r="V15" s="110">
        <f>V13*'[1]Cost Assumptions'!$E$53</f>
        <v>0</v>
      </c>
      <c r="W15" s="111">
        <f>W13*'[1]Cost Assumptions'!$E$53</f>
        <v>0</v>
      </c>
      <c r="X15" s="111">
        <f>X13*'[1]Cost Assumptions'!$E$53</f>
        <v>0</v>
      </c>
      <c r="Y15" s="111">
        <f>Y13*'[1]Cost Assumptions'!$E$53</f>
        <v>0</v>
      </c>
      <c r="Z15" s="115"/>
      <c r="AA15" s="110">
        <f>AA13*'[1]Cost Assumptions'!$E$53</f>
        <v>0</v>
      </c>
      <c r="AB15" s="111">
        <f>AB13*'[1]Cost Assumptions'!$E$53</f>
        <v>0</v>
      </c>
      <c r="AC15" s="111">
        <f>AC13*'[1]Cost Assumptions'!$E$53</f>
        <v>0</v>
      </c>
      <c r="AD15" s="111">
        <f>AD13*'[1]Cost Assumptions'!$E$53</f>
        <v>0</v>
      </c>
      <c r="AE15" s="115"/>
      <c r="AF15" s="110">
        <f>AF13*'[1]Cost Assumptions'!$E$53</f>
        <v>0</v>
      </c>
      <c r="AG15" s="111">
        <f>AG13*'[1]Cost Assumptions'!$E$53</f>
        <v>0</v>
      </c>
      <c r="AH15" s="111">
        <f>AH13*'[1]Cost Assumptions'!$E$53</f>
        <v>0</v>
      </c>
      <c r="AI15" s="116">
        <f>AI13*'[1]Cost Assumptions'!$E$53</f>
        <v>0</v>
      </c>
      <c r="AJ15" s="130"/>
      <c r="AK15" s="110">
        <f>AK13*'[1]Cost Assumptions'!$E$53</f>
        <v>0</v>
      </c>
      <c r="AL15" s="111">
        <f>AL13*'[1]Cost Assumptions'!$E$53</f>
        <v>0</v>
      </c>
      <c r="AM15" s="111">
        <f>AM13*'[1]Cost Assumptions'!$E$53</f>
        <v>0</v>
      </c>
      <c r="AN15" s="111">
        <f>AN13*'[1]Cost Assumptions'!$E$53</f>
        <v>0</v>
      </c>
      <c r="AO15" s="115"/>
    </row>
    <row r="16" spans="1:41" hidden="1">
      <c r="B16" s="245"/>
      <c r="C16" s="245"/>
      <c r="D16" s="245"/>
      <c r="E16" s="110"/>
      <c r="F16" s="111"/>
      <c r="G16" s="111"/>
      <c r="H16" s="112"/>
      <c r="I16" s="111"/>
      <c r="J16" s="111"/>
      <c r="K16" s="111"/>
      <c r="L16" s="112"/>
      <c r="M16" s="111"/>
      <c r="N16" s="111"/>
      <c r="O16" s="111"/>
      <c r="P16" s="112"/>
      <c r="Q16" s="111"/>
      <c r="R16" s="111"/>
      <c r="S16" s="111"/>
      <c r="T16" s="112"/>
      <c r="U16" s="115"/>
      <c r="V16" s="110"/>
      <c r="W16" s="111"/>
      <c r="X16" s="111"/>
      <c r="Y16" s="111"/>
      <c r="Z16" s="115"/>
      <c r="AA16" s="110"/>
      <c r="AB16" s="111"/>
      <c r="AC16" s="111"/>
      <c r="AD16" s="111"/>
      <c r="AE16" s="115"/>
      <c r="AF16" s="110"/>
      <c r="AG16" s="111"/>
      <c r="AH16" s="111"/>
      <c r="AI16" s="116"/>
      <c r="AJ16" s="130"/>
      <c r="AK16" s="110"/>
      <c r="AL16" s="111"/>
      <c r="AM16" s="111"/>
      <c r="AN16" s="111"/>
      <c r="AO16" s="115"/>
    </row>
    <row r="17" spans="2:41" hidden="1">
      <c r="B17" s="245"/>
      <c r="C17" s="245"/>
      <c r="D17" s="245"/>
      <c r="E17" s="120"/>
      <c r="F17" s="121"/>
      <c r="G17" s="121"/>
      <c r="H17" s="122"/>
      <c r="I17" s="121"/>
      <c r="J17" s="121"/>
      <c r="K17" s="121"/>
      <c r="L17" s="122"/>
      <c r="M17" s="121"/>
      <c r="N17" s="121"/>
      <c r="O17" s="121"/>
      <c r="P17" s="122"/>
      <c r="Q17" s="121"/>
      <c r="R17" s="121"/>
      <c r="S17" s="121"/>
      <c r="T17" s="122"/>
      <c r="U17" s="246"/>
      <c r="V17" s="120"/>
      <c r="W17" s="121"/>
      <c r="X17" s="121"/>
      <c r="Y17" s="121"/>
      <c r="Z17" s="246"/>
      <c r="AA17" s="120"/>
      <c r="AB17" s="121"/>
      <c r="AC17" s="121"/>
      <c r="AD17" s="121"/>
      <c r="AE17" s="246"/>
      <c r="AF17" s="120"/>
      <c r="AG17" s="121"/>
      <c r="AH17" s="121"/>
      <c r="AI17" s="247"/>
      <c r="AJ17" s="248"/>
      <c r="AK17" s="120"/>
      <c r="AL17" s="121"/>
      <c r="AM17" s="121"/>
      <c r="AN17" s="121"/>
      <c r="AO17" s="246"/>
    </row>
    <row r="18" spans="2:41" hidden="1">
      <c r="B18" s="245" t="s">
        <v>184</v>
      </c>
      <c r="C18" s="245"/>
      <c r="D18" s="245"/>
      <c r="E18" s="120"/>
      <c r="F18" s="121"/>
      <c r="G18" s="121"/>
      <c r="H18" s="122">
        <f>H13-H15</f>
        <v>0</v>
      </c>
      <c r="I18" s="121"/>
      <c r="J18" s="121"/>
      <c r="K18" s="121"/>
      <c r="L18" s="122">
        <f t="shared" ref="L18:Y18" si="1">L13-L15</f>
        <v>0</v>
      </c>
      <c r="M18" s="121"/>
      <c r="N18" s="121"/>
      <c r="O18" s="121"/>
      <c r="P18" s="122">
        <f t="shared" si="1"/>
        <v>0</v>
      </c>
      <c r="Q18" s="121"/>
      <c r="R18" s="121"/>
      <c r="S18" s="121"/>
      <c r="T18" s="122">
        <f t="shared" si="1"/>
        <v>0</v>
      </c>
      <c r="U18" s="246">
        <f>U13-U15</f>
        <v>0</v>
      </c>
      <c r="V18" s="120">
        <f t="shared" si="1"/>
        <v>0</v>
      </c>
      <c r="W18" s="121">
        <f t="shared" si="1"/>
        <v>0</v>
      </c>
      <c r="X18" s="121">
        <f t="shared" si="1"/>
        <v>0</v>
      </c>
      <c r="Y18" s="121">
        <f t="shared" si="1"/>
        <v>0</v>
      </c>
      <c r="Z18" s="246"/>
      <c r="AA18" s="120">
        <f>AA13-AA15</f>
        <v>0</v>
      </c>
      <c r="AB18" s="121">
        <f>AB13-AB15</f>
        <v>0</v>
      </c>
      <c r="AC18" s="121">
        <f>AC13-AC15</f>
        <v>0</v>
      </c>
      <c r="AD18" s="121">
        <f>AD13-AD15</f>
        <v>0</v>
      </c>
      <c r="AE18" s="246"/>
      <c r="AF18" s="120">
        <f>AF13-AF15</f>
        <v>0</v>
      </c>
      <c r="AG18" s="121">
        <f>AG13-AG15</f>
        <v>0</v>
      </c>
      <c r="AH18" s="121">
        <f>AH13-AH15</f>
        <v>0</v>
      </c>
      <c r="AI18" s="247">
        <f>AI13-AI15</f>
        <v>0</v>
      </c>
      <c r="AJ18" s="248"/>
      <c r="AK18" s="120">
        <f>AK13-AK15</f>
        <v>0</v>
      </c>
      <c r="AL18" s="121">
        <f>AL13-AL15</f>
        <v>0</v>
      </c>
      <c r="AM18" s="121">
        <f>AM13-AM15</f>
        <v>0</v>
      </c>
      <c r="AN18" s="121">
        <f>AN13-AN15</f>
        <v>0</v>
      </c>
      <c r="AO18" s="246"/>
    </row>
    <row r="19" spans="2:41" hidden="1">
      <c r="B19" s="245"/>
      <c r="C19" s="245"/>
      <c r="D19" s="245"/>
      <c r="E19" s="110"/>
      <c r="F19" s="111"/>
      <c r="G19" s="111"/>
      <c r="H19" s="112"/>
      <c r="I19" s="111"/>
      <c r="J19" s="111"/>
      <c r="K19" s="111"/>
      <c r="L19" s="112"/>
      <c r="M19" s="111"/>
      <c r="N19" s="111"/>
      <c r="O19" s="111"/>
      <c r="P19" s="112"/>
      <c r="Q19" s="111"/>
      <c r="R19" s="111"/>
      <c r="S19" s="111"/>
      <c r="T19" s="112"/>
      <c r="U19" s="115"/>
      <c r="V19" s="110"/>
      <c r="W19" s="111"/>
      <c r="X19" s="111"/>
      <c r="Y19" s="111"/>
      <c r="Z19" s="115"/>
      <c r="AA19" s="110"/>
      <c r="AB19" s="111"/>
      <c r="AC19" s="111"/>
      <c r="AD19" s="111"/>
      <c r="AE19" s="115"/>
      <c r="AF19" s="110"/>
      <c r="AG19" s="111"/>
      <c r="AH19" s="111"/>
      <c r="AI19" s="116"/>
      <c r="AJ19" s="130"/>
      <c r="AK19" s="110"/>
      <c r="AL19" s="111"/>
      <c r="AM19" s="111"/>
      <c r="AN19" s="111"/>
      <c r="AO19" s="115"/>
    </row>
    <row r="20" spans="2:41">
      <c r="B20" s="249" t="s">
        <v>185</v>
      </c>
      <c r="C20" s="245"/>
      <c r="D20" s="245"/>
      <c r="E20" s="110"/>
      <c r="F20" s="111"/>
      <c r="G20" s="111"/>
      <c r="H20" s="112"/>
      <c r="I20" s="111"/>
      <c r="J20" s="111"/>
      <c r="K20" s="111"/>
      <c r="L20" s="112"/>
      <c r="M20" s="111"/>
      <c r="N20" s="111"/>
      <c r="O20" s="111"/>
      <c r="P20" s="112"/>
      <c r="Q20" s="111"/>
      <c r="R20" s="111"/>
      <c r="S20" s="111"/>
      <c r="T20" s="112"/>
      <c r="U20" s="115"/>
      <c r="V20" s="110"/>
      <c r="W20" s="111"/>
      <c r="X20" s="111"/>
      <c r="Y20" s="111"/>
      <c r="Z20" s="115"/>
      <c r="AA20" s="110"/>
      <c r="AB20" s="111"/>
      <c r="AC20" s="111"/>
      <c r="AD20" s="111"/>
      <c r="AE20" s="115"/>
      <c r="AF20" s="110"/>
      <c r="AG20" s="111"/>
      <c r="AH20" s="111"/>
      <c r="AI20" s="116"/>
      <c r="AJ20" s="130"/>
      <c r="AK20" s="110"/>
      <c r="AL20" s="111"/>
      <c r="AM20" s="111"/>
      <c r="AN20" s="111"/>
      <c r="AO20" s="115"/>
    </row>
    <row r="21" spans="2:41">
      <c r="B21" s="249" t="s">
        <v>186</v>
      </c>
      <c r="E21" s="131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15"/>
      <c r="V21" s="131"/>
      <c r="W21" s="132"/>
      <c r="X21" s="132"/>
      <c r="Y21" s="132"/>
      <c r="Z21" s="115"/>
      <c r="AA21" s="131"/>
      <c r="AB21" s="132"/>
      <c r="AC21" s="132"/>
      <c r="AD21" s="132"/>
      <c r="AE21" s="115"/>
      <c r="AF21" s="131"/>
      <c r="AG21" s="132"/>
      <c r="AH21" s="132"/>
      <c r="AI21" s="133"/>
      <c r="AJ21" s="130"/>
      <c r="AK21" s="131"/>
      <c r="AL21" s="132"/>
      <c r="AM21" s="132"/>
      <c r="AN21" s="132"/>
      <c r="AO21" s="115"/>
    </row>
    <row r="22" spans="2:41">
      <c r="B22" s="245" t="s">
        <v>187</v>
      </c>
      <c r="C22" s="5">
        <f>'Cost Assumptions'!D22*'CostRev comparison'!$D$5</f>
        <v>2000</v>
      </c>
      <c r="E22" s="131">
        <f>$C22-$C22</f>
        <v>0</v>
      </c>
      <c r="F22" s="131">
        <f>$C22-$C22</f>
        <v>0</v>
      </c>
      <c r="G22" s="131">
        <f>$C22-$C22</f>
        <v>0</v>
      </c>
      <c r="H22" s="132">
        <f>$C22*3</f>
        <v>6000</v>
      </c>
      <c r="I22" s="132">
        <f t="shared" ref="I22:K25" si="2">$C22</f>
        <v>2000</v>
      </c>
      <c r="J22" s="132">
        <f t="shared" si="2"/>
        <v>2000</v>
      </c>
      <c r="K22" s="132">
        <f t="shared" si="2"/>
        <v>2000</v>
      </c>
      <c r="L22" s="132">
        <f>$C22*3</f>
        <v>6000</v>
      </c>
      <c r="M22" s="132">
        <f t="shared" ref="M22:O25" si="3">$C22</f>
        <v>2000</v>
      </c>
      <c r="N22" s="132">
        <f t="shared" si="3"/>
        <v>2000</v>
      </c>
      <c r="O22" s="132">
        <f t="shared" si="3"/>
        <v>2000</v>
      </c>
      <c r="P22" s="132">
        <f>$C22*3</f>
        <v>6000</v>
      </c>
      <c r="Q22" s="132">
        <f t="shared" ref="Q22:S25" si="4">$C22</f>
        <v>2000</v>
      </c>
      <c r="R22" s="132">
        <f t="shared" si="4"/>
        <v>2000</v>
      </c>
      <c r="S22" s="132">
        <f t="shared" si="4"/>
        <v>2000</v>
      </c>
      <c r="T22" s="132">
        <f>$C22*3</f>
        <v>6000</v>
      </c>
      <c r="U22" s="115">
        <f>SUM(E22:G22)+SUM(I22:K22)+SUM(M22:O22)+SUM(Q22:S22)</f>
        <v>18000</v>
      </c>
      <c r="V22" s="131">
        <f>$C22*3*(1+$W$2)</f>
        <v>6899.9999999999991</v>
      </c>
      <c r="W22" s="132">
        <f t="shared" ref="W22:Y25" si="5">$C22*3*(1+$W$2)</f>
        <v>6899.9999999999991</v>
      </c>
      <c r="X22" s="132">
        <f t="shared" si="5"/>
        <v>6899.9999999999991</v>
      </c>
      <c r="Y22" s="132">
        <f t="shared" si="5"/>
        <v>6899.9999999999991</v>
      </c>
      <c r="Z22" s="115">
        <f>SUM(V22:Y22)</f>
        <v>27599.999999999996</v>
      </c>
      <c r="AA22" s="131">
        <f>$C22*3*((1+$W$2)*(1+$AB$2))</f>
        <v>7934.9999999999991</v>
      </c>
      <c r="AB22" s="132">
        <f t="shared" ref="AB22:AD25" si="6">$C22*3*((1+$W$2)*(1+$AB$2))</f>
        <v>7934.9999999999991</v>
      </c>
      <c r="AC22" s="132">
        <f t="shared" si="6"/>
        <v>7934.9999999999991</v>
      </c>
      <c r="AD22" s="132">
        <f t="shared" si="6"/>
        <v>7934.9999999999991</v>
      </c>
      <c r="AE22" s="115">
        <f>SUM(AA22:AD22)</f>
        <v>31739.999999999996</v>
      </c>
      <c r="AF22" s="131">
        <f>$C22*3*(((1+$W$2)*(1+$AB$2)*(1+$AG$2)))</f>
        <v>9125.2499999999964</v>
      </c>
      <c r="AG22" s="132">
        <f t="shared" ref="AG22:AI25" si="7">$C22*3*(((1+$W$2)*(1+$AB$2)*(1+$AG$2)))</f>
        <v>9125.2499999999964</v>
      </c>
      <c r="AH22" s="132">
        <f t="shared" si="7"/>
        <v>9125.2499999999964</v>
      </c>
      <c r="AI22" s="133">
        <f t="shared" si="7"/>
        <v>9125.2499999999964</v>
      </c>
      <c r="AJ22" s="115">
        <f>SUM(AF22:AI22)</f>
        <v>36500.999999999985</v>
      </c>
      <c r="AK22" s="131">
        <f>$C22*3*((1+$W$2)*(1+$AB$2)*(1+$AG$2)*(1+$AL$2))</f>
        <v>10494.037499999997</v>
      </c>
      <c r="AL22" s="132">
        <f t="shared" ref="AL22:AN25" si="8">$C22*3*((1+$W$2)*(1+$AB$2)*(1+$AG$2)*(1+$AL$2))</f>
        <v>10494.037499999997</v>
      </c>
      <c r="AM22" s="132">
        <f t="shared" si="8"/>
        <v>10494.037499999997</v>
      </c>
      <c r="AN22" s="132">
        <f t="shared" si="8"/>
        <v>10494.037499999997</v>
      </c>
      <c r="AO22" s="115">
        <f>SUM(AK22:AN22)</f>
        <v>41976.149999999987</v>
      </c>
    </row>
    <row r="23" spans="2:41">
      <c r="B23" s="245" t="s">
        <v>91</v>
      </c>
      <c r="C23" s="5">
        <f>'Cost Assumptions'!D23*'CostRev comparison'!$D$5</f>
        <v>500</v>
      </c>
      <c r="E23" s="131">
        <f>$C23</f>
        <v>500</v>
      </c>
      <c r="F23" s="132">
        <f t="shared" ref="F23:G25" si="9">$C23</f>
        <v>500</v>
      </c>
      <c r="G23" s="132">
        <f t="shared" si="9"/>
        <v>500</v>
      </c>
      <c r="H23" s="132">
        <f>$C23*3</f>
        <v>1500</v>
      </c>
      <c r="I23" s="132">
        <f t="shared" si="2"/>
        <v>500</v>
      </c>
      <c r="J23" s="132">
        <f t="shared" si="2"/>
        <v>500</v>
      </c>
      <c r="K23" s="132">
        <f t="shared" si="2"/>
        <v>500</v>
      </c>
      <c r="L23" s="132">
        <f>$C23*3</f>
        <v>1500</v>
      </c>
      <c r="M23" s="132">
        <f t="shared" si="3"/>
        <v>500</v>
      </c>
      <c r="N23" s="132">
        <f t="shared" si="3"/>
        <v>500</v>
      </c>
      <c r="O23" s="132">
        <f t="shared" si="3"/>
        <v>500</v>
      </c>
      <c r="P23" s="132">
        <f>$C23*3</f>
        <v>1500</v>
      </c>
      <c r="Q23" s="132">
        <f t="shared" si="4"/>
        <v>500</v>
      </c>
      <c r="R23" s="132">
        <f t="shared" si="4"/>
        <v>500</v>
      </c>
      <c r="S23" s="132">
        <f t="shared" si="4"/>
        <v>500</v>
      </c>
      <c r="T23" s="132">
        <f>$C23*3</f>
        <v>1500</v>
      </c>
      <c r="U23" s="115">
        <f>SUM(E23:G23)+SUM(I23:K23)+SUM(M23:O23)+SUM(Q23:S23)</f>
        <v>6000</v>
      </c>
      <c r="V23" s="131">
        <f>$C23*3*(1+$W$2)</f>
        <v>1724.9999999999998</v>
      </c>
      <c r="W23" s="132">
        <f t="shared" si="5"/>
        <v>1724.9999999999998</v>
      </c>
      <c r="X23" s="132">
        <f t="shared" si="5"/>
        <v>1724.9999999999998</v>
      </c>
      <c r="Y23" s="132">
        <f t="shared" si="5"/>
        <v>1724.9999999999998</v>
      </c>
      <c r="Z23" s="115">
        <f>SUM(V23:Y23)</f>
        <v>6899.9999999999991</v>
      </c>
      <c r="AA23" s="131">
        <f>$C23*3*((1+$W$2)*(1+$AB$2))</f>
        <v>1983.7499999999998</v>
      </c>
      <c r="AB23" s="132">
        <f t="shared" si="6"/>
        <v>1983.7499999999998</v>
      </c>
      <c r="AC23" s="132">
        <f t="shared" si="6"/>
        <v>1983.7499999999998</v>
      </c>
      <c r="AD23" s="132">
        <f t="shared" si="6"/>
        <v>1983.7499999999998</v>
      </c>
      <c r="AE23" s="115">
        <f>SUM(AA23:AD23)</f>
        <v>7934.9999999999991</v>
      </c>
      <c r="AF23" s="131">
        <f>$C23*3*(((1+$W$2)*(1+$AB$2)*(1+$AG$2)))</f>
        <v>2281.3124999999991</v>
      </c>
      <c r="AG23" s="132">
        <f t="shared" si="7"/>
        <v>2281.3124999999991</v>
      </c>
      <c r="AH23" s="132">
        <f t="shared" si="7"/>
        <v>2281.3124999999991</v>
      </c>
      <c r="AI23" s="133">
        <f t="shared" si="7"/>
        <v>2281.3124999999991</v>
      </c>
      <c r="AJ23" s="115">
        <f>SUM(AF23:AI23)</f>
        <v>9125.2499999999964</v>
      </c>
      <c r="AK23" s="131">
        <f>$C23*3*((1+$W$2)*(1+$AB$2)*(1+$AG$2)*(1+$AL$2))</f>
        <v>2623.5093749999992</v>
      </c>
      <c r="AL23" s="132">
        <f t="shared" si="8"/>
        <v>2623.5093749999992</v>
      </c>
      <c r="AM23" s="132">
        <f t="shared" si="8"/>
        <v>2623.5093749999992</v>
      </c>
      <c r="AN23" s="132">
        <f t="shared" si="8"/>
        <v>2623.5093749999992</v>
      </c>
      <c r="AO23" s="115">
        <f>SUM(AK23:AN23)</f>
        <v>10494.037499999997</v>
      </c>
    </row>
    <row r="24" spans="2:41">
      <c r="B24" s="245" t="s">
        <v>92</v>
      </c>
      <c r="C24" s="5">
        <f>'Cost Assumptions'!D24*'CostRev comparison'!$D$5</f>
        <v>50</v>
      </c>
      <c r="E24" s="131">
        <f>$C24</f>
        <v>50</v>
      </c>
      <c r="F24" s="132">
        <f t="shared" si="9"/>
        <v>50</v>
      </c>
      <c r="G24" s="132">
        <f t="shared" si="9"/>
        <v>50</v>
      </c>
      <c r="H24" s="132">
        <f>$C24*3</f>
        <v>150</v>
      </c>
      <c r="I24" s="132">
        <f t="shared" si="2"/>
        <v>50</v>
      </c>
      <c r="J24" s="132">
        <f t="shared" si="2"/>
        <v>50</v>
      </c>
      <c r="K24" s="132">
        <f t="shared" si="2"/>
        <v>50</v>
      </c>
      <c r="L24" s="132">
        <f>$C24*3</f>
        <v>150</v>
      </c>
      <c r="M24" s="132">
        <f t="shared" si="3"/>
        <v>50</v>
      </c>
      <c r="N24" s="132">
        <f t="shared" si="3"/>
        <v>50</v>
      </c>
      <c r="O24" s="132">
        <f t="shared" si="3"/>
        <v>50</v>
      </c>
      <c r="P24" s="132">
        <f>$C24*3</f>
        <v>150</v>
      </c>
      <c r="Q24" s="132">
        <f t="shared" si="4"/>
        <v>50</v>
      </c>
      <c r="R24" s="132">
        <f t="shared" si="4"/>
        <v>50</v>
      </c>
      <c r="S24" s="132">
        <f t="shared" si="4"/>
        <v>50</v>
      </c>
      <c r="T24" s="132">
        <f>$C24*3</f>
        <v>150</v>
      </c>
      <c r="U24" s="115">
        <f>SUM(E24:G24)+SUM(I24:K24)+SUM(M24:O24)+SUM(Q24:S24)</f>
        <v>600</v>
      </c>
      <c r="V24" s="131">
        <f>$C24*3*(1+$W$2)</f>
        <v>172.5</v>
      </c>
      <c r="W24" s="132">
        <f t="shared" si="5"/>
        <v>172.5</v>
      </c>
      <c r="X24" s="132">
        <f t="shared" si="5"/>
        <v>172.5</v>
      </c>
      <c r="Y24" s="132">
        <f t="shared" si="5"/>
        <v>172.5</v>
      </c>
      <c r="Z24" s="115">
        <f>SUM(V24:Y24)</f>
        <v>690</v>
      </c>
      <c r="AA24" s="131">
        <f>$C24*3*((1+$W$2)*(1+$AB$2))</f>
        <v>198.37499999999997</v>
      </c>
      <c r="AB24" s="132">
        <f t="shared" si="6"/>
        <v>198.37499999999997</v>
      </c>
      <c r="AC24" s="132">
        <f t="shared" si="6"/>
        <v>198.37499999999997</v>
      </c>
      <c r="AD24" s="132">
        <f t="shared" si="6"/>
        <v>198.37499999999997</v>
      </c>
      <c r="AE24" s="115">
        <f>SUM(AA24:AD24)</f>
        <v>793.49999999999989</v>
      </c>
      <c r="AF24" s="131">
        <f>$C24*3*(((1+$W$2)*(1+$AB$2)*(1+$AG$2)))</f>
        <v>228.13124999999994</v>
      </c>
      <c r="AG24" s="132">
        <f t="shared" si="7"/>
        <v>228.13124999999994</v>
      </c>
      <c r="AH24" s="132">
        <f t="shared" si="7"/>
        <v>228.13124999999994</v>
      </c>
      <c r="AI24" s="133">
        <f t="shared" si="7"/>
        <v>228.13124999999994</v>
      </c>
      <c r="AJ24" s="115">
        <f>SUM(AF24:AI24)</f>
        <v>912.52499999999975</v>
      </c>
      <c r="AK24" s="131">
        <f>$C24*3*((1+$W$2)*(1+$AB$2)*(1+$AG$2)*(1+$AL$2))</f>
        <v>262.35093749999993</v>
      </c>
      <c r="AL24" s="132">
        <f t="shared" si="8"/>
        <v>262.35093749999993</v>
      </c>
      <c r="AM24" s="132">
        <f t="shared" si="8"/>
        <v>262.35093749999993</v>
      </c>
      <c r="AN24" s="132">
        <f t="shared" si="8"/>
        <v>262.35093749999993</v>
      </c>
      <c r="AO24" s="115">
        <f>SUM(AK24:AN24)</f>
        <v>1049.4037499999997</v>
      </c>
    </row>
    <row r="25" spans="2:41" ht="17" thickBot="1">
      <c r="B25" s="245" t="s">
        <v>131</v>
      </c>
      <c r="C25" s="5">
        <f>'Cost Assumptions'!D25*'CostRev comparison'!$D$5</f>
        <v>2000</v>
      </c>
      <c r="E25" s="131">
        <f>$C25</f>
        <v>2000</v>
      </c>
      <c r="F25" s="131">
        <f t="shared" si="9"/>
        <v>2000</v>
      </c>
      <c r="G25" s="131">
        <f t="shared" si="9"/>
        <v>2000</v>
      </c>
      <c r="H25" s="132">
        <f>$C25*3</f>
        <v>6000</v>
      </c>
      <c r="I25" s="131">
        <f t="shared" si="2"/>
        <v>2000</v>
      </c>
      <c r="J25" s="131">
        <f t="shared" si="2"/>
        <v>2000</v>
      </c>
      <c r="K25" s="131">
        <f t="shared" si="2"/>
        <v>2000</v>
      </c>
      <c r="L25" s="132">
        <f>$C25*3</f>
        <v>6000</v>
      </c>
      <c r="M25" s="131">
        <f t="shared" si="3"/>
        <v>2000</v>
      </c>
      <c r="N25" s="131">
        <f t="shared" si="3"/>
        <v>2000</v>
      </c>
      <c r="O25" s="131">
        <f t="shared" si="3"/>
        <v>2000</v>
      </c>
      <c r="P25" s="132">
        <f>$C25*3</f>
        <v>6000</v>
      </c>
      <c r="Q25" s="131">
        <f t="shared" si="4"/>
        <v>2000</v>
      </c>
      <c r="R25" s="131">
        <f t="shared" si="4"/>
        <v>2000</v>
      </c>
      <c r="S25" s="131">
        <f t="shared" si="4"/>
        <v>2000</v>
      </c>
      <c r="T25" s="132">
        <f>$C25*3</f>
        <v>6000</v>
      </c>
      <c r="U25" s="115">
        <f>SUM(E25:G25)+SUM(I25:K25)+SUM(M25:O25)+SUM(Q25:S25)</f>
        <v>24000</v>
      </c>
      <c r="V25" s="131">
        <f>$C25*3*(1+$W$2)</f>
        <v>6899.9999999999991</v>
      </c>
      <c r="W25" s="132">
        <f t="shared" si="5"/>
        <v>6899.9999999999991</v>
      </c>
      <c r="X25" s="132">
        <f t="shared" si="5"/>
        <v>6899.9999999999991</v>
      </c>
      <c r="Y25" s="132">
        <f t="shared" si="5"/>
        <v>6899.9999999999991</v>
      </c>
      <c r="Z25" s="115">
        <f>SUM(V25:Y25)</f>
        <v>27599.999999999996</v>
      </c>
      <c r="AA25" s="131">
        <f>$C25*3*((1+$W$2)*(1+$AB$2))</f>
        <v>7934.9999999999991</v>
      </c>
      <c r="AB25" s="132">
        <f t="shared" si="6"/>
        <v>7934.9999999999991</v>
      </c>
      <c r="AC25" s="132">
        <f t="shared" si="6"/>
        <v>7934.9999999999991</v>
      </c>
      <c r="AD25" s="132">
        <f t="shared" si="6"/>
        <v>7934.9999999999991</v>
      </c>
      <c r="AE25" s="115">
        <f>SUM(AA25:AD25)</f>
        <v>31739.999999999996</v>
      </c>
      <c r="AF25" s="131">
        <f>$C25*3*(((1+$W$2)*(1+$AB$2)*(1+$AG$2)))</f>
        <v>9125.2499999999964</v>
      </c>
      <c r="AG25" s="132">
        <f t="shared" si="7"/>
        <v>9125.2499999999964</v>
      </c>
      <c r="AH25" s="132">
        <f t="shared" si="7"/>
        <v>9125.2499999999964</v>
      </c>
      <c r="AI25" s="133">
        <f t="shared" si="7"/>
        <v>9125.2499999999964</v>
      </c>
      <c r="AJ25" s="115">
        <f>SUM(AF25:AI25)</f>
        <v>36500.999999999985</v>
      </c>
      <c r="AK25" s="131">
        <f>$C25*3*((1+$W$2)*(1+$AB$2)*(1+$AG$2)*(1+$AL$2))</f>
        <v>10494.037499999997</v>
      </c>
      <c r="AL25" s="132">
        <f t="shared" si="8"/>
        <v>10494.037499999997</v>
      </c>
      <c r="AM25" s="132">
        <f t="shared" si="8"/>
        <v>10494.037499999997</v>
      </c>
      <c r="AN25" s="132">
        <f t="shared" si="8"/>
        <v>10494.037499999997</v>
      </c>
      <c r="AO25" s="115">
        <f>SUM(AK25:AN25)</f>
        <v>41976.149999999987</v>
      </c>
    </row>
    <row r="26" spans="2:41">
      <c r="B26" s="245"/>
      <c r="E26" s="134"/>
      <c r="F26" s="135"/>
      <c r="G26" s="135"/>
      <c r="H26" s="135">
        <f>SUM(H22:H24)</f>
        <v>7650</v>
      </c>
      <c r="I26" s="135"/>
      <c r="J26" s="135"/>
      <c r="K26" s="135"/>
      <c r="L26" s="135">
        <f>SUM(L22:L24)</f>
        <v>7650</v>
      </c>
      <c r="M26" s="135"/>
      <c r="N26" s="135"/>
      <c r="O26" s="135"/>
      <c r="P26" s="135">
        <f>SUM(P22:P24)</f>
        <v>7650</v>
      </c>
      <c r="Q26" s="135"/>
      <c r="R26" s="135"/>
      <c r="S26" s="135"/>
      <c r="T26" s="135">
        <f>SUM(T22:T24)</f>
        <v>7650</v>
      </c>
      <c r="U26" s="250">
        <f>SUM(U22:U25)</f>
        <v>48600</v>
      </c>
      <c r="V26" s="134">
        <f>SUM(V22:V25)</f>
        <v>15697.499999999996</v>
      </c>
      <c r="W26" s="134">
        <f t="shared" ref="W26:Y26" si="10">SUM(W22:W25)</f>
        <v>15697.499999999996</v>
      </c>
      <c r="X26" s="134">
        <f t="shared" si="10"/>
        <v>15697.499999999996</v>
      </c>
      <c r="Y26" s="134">
        <f t="shared" si="10"/>
        <v>15697.499999999996</v>
      </c>
      <c r="Z26" s="250">
        <f>SUM(Z22:Z25)</f>
        <v>62789.999999999985</v>
      </c>
      <c r="AA26" s="134">
        <f>SUM(AA22:AA25)</f>
        <v>18052.124999999996</v>
      </c>
      <c r="AB26" s="134">
        <f t="shared" ref="AB26:AD26" si="11">SUM(AB22:AB25)</f>
        <v>18052.124999999996</v>
      </c>
      <c r="AC26" s="134">
        <f t="shared" si="11"/>
        <v>18052.124999999996</v>
      </c>
      <c r="AD26" s="134">
        <f t="shared" si="11"/>
        <v>18052.124999999996</v>
      </c>
      <c r="AE26" s="250">
        <f>SUM(AE22:AE25)</f>
        <v>72208.499999999985</v>
      </c>
      <c r="AF26" s="134">
        <f>SUM(AF22:AF25)</f>
        <v>20759.943749999991</v>
      </c>
      <c r="AG26" s="134">
        <f t="shared" ref="AG26:AI26" si="12">SUM(AG22:AG25)</f>
        <v>20759.943749999991</v>
      </c>
      <c r="AH26" s="134">
        <f t="shared" si="12"/>
        <v>20759.943749999991</v>
      </c>
      <c r="AI26" s="134">
        <f t="shared" si="12"/>
        <v>20759.943749999991</v>
      </c>
      <c r="AJ26" s="250">
        <f>SUM(AJ22:AJ25)</f>
        <v>83039.774999999965</v>
      </c>
      <c r="AK26" s="134">
        <f>SUM(AK22:AK25)</f>
        <v>23873.935312499991</v>
      </c>
      <c r="AL26" s="134">
        <f t="shared" ref="AL26:AN26" si="13">SUM(AL22:AL25)</f>
        <v>23873.935312499991</v>
      </c>
      <c r="AM26" s="134">
        <f t="shared" si="13"/>
        <v>23873.935312499991</v>
      </c>
      <c r="AN26" s="134">
        <f t="shared" si="13"/>
        <v>23873.935312499991</v>
      </c>
      <c r="AO26" s="250">
        <f>SUM(AO22:AO25)</f>
        <v>95495.741249999963</v>
      </c>
    </row>
    <row r="27" spans="2:41">
      <c r="B27" s="249" t="s">
        <v>189</v>
      </c>
      <c r="E27" s="131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15"/>
      <c r="V27" s="131"/>
      <c r="W27" s="132"/>
      <c r="X27" s="132"/>
      <c r="Y27" s="132"/>
      <c r="Z27" s="115"/>
      <c r="AA27" s="131"/>
      <c r="AB27" s="132"/>
      <c r="AC27" s="132"/>
      <c r="AD27" s="132"/>
      <c r="AE27" s="115"/>
      <c r="AF27" s="131"/>
      <c r="AG27" s="132"/>
      <c r="AH27" s="132"/>
      <c r="AI27" s="133"/>
      <c r="AJ27" s="115"/>
      <c r="AK27" s="131"/>
      <c r="AL27" s="132"/>
      <c r="AM27" s="132"/>
      <c r="AN27" s="132"/>
      <c r="AO27" s="115"/>
    </row>
    <row r="28" spans="2:41">
      <c r="B28" s="245" t="s">
        <v>190</v>
      </c>
      <c r="C28" s="5">
        <f>SUM('Cost Assumptions'!D27+'Cost Assumptions'!D28+'Cost Assumptions'!D31+'Cost Assumptions'!D32+'Cost Assumptions'!D29)*'CostRev comparison'!$D$5</f>
        <v>20500</v>
      </c>
      <c r="E28" s="131">
        <f>$C28-'Cost Assumptions'!$D$29</f>
        <v>20000</v>
      </c>
      <c r="F28" s="131">
        <f>$C28-'Cost Assumptions'!$D$29</f>
        <v>20000</v>
      </c>
      <c r="G28" s="131">
        <f>$C28-'Cost Assumptions'!$D$29</f>
        <v>20000</v>
      </c>
      <c r="H28" s="132">
        <f t="shared" ref="H28:H33" si="14">$C28*3</f>
        <v>61500</v>
      </c>
      <c r="I28" s="132">
        <f t="shared" ref="I28:K33" si="15">$C28</f>
        <v>20500</v>
      </c>
      <c r="J28" s="132">
        <f t="shared" si="15"/>
        <v>20500</v>
      </c>
      <c r="K28" s="132">
        <f t="shared" si="15"/>
        <v>20500</v>
      </c>
      <c r="L28" s="132">
        <f t="shared" ref="L28:L33" si="16">$C28*3</f>
        <v>61500</v>
      </c>
      <c r="M28" s="132">
        <f t="shared" ref="M28:O33" si="17">$C28</f>
        <v>20500</v>
      </c>
      <c r="N28" s="132">
        <f t="shared" si="17"/>
        <v>20500</v>
      </c>
      <c r="O28" s="132">
        <f t="shared" si="17"/>
        <v>20500</v>
      </c>
      <c r="P28" s="132">
        <f t="shared" ref="P28:P33" si="18">$C28*3</f>
        <v>61500</v>
      </c>
      <c r="Q28" s="132">
        <f t="shared" ref="Q28:S33" si="19">$C28</f>
        <v>20500</v>
      </c>
      <c r="R28" s="132">
        <f t="shared" si="19"/>
        <v>20500</v>
      </c>
      <c r="S28" s="132">
        <f t="shared" si="19"/>
        <v>20500</v>
      </c>
      <c r="T28" s="132">
        <f t="shared" ref="T28:T33" si="20">$C28*3</f>
        <v>61500</v>
      </c>
      <c r="U28" s="115">
        <f t="shared" ref="U28:U33" si="21">SUM(E28:G28)+SUM(I28:K28)+SUM(M28:O28)+SUM(Q28:S28)</f>
        <v>244500</v>
      </c>
      <c r="V28" s="131">
        <f t="shared" ref="V28:Y33" si="22">$C28*3*(1+$W$2)</f>
        <v>70725</v>
      </c>
      <c r="W28" s="132">
        <f t="shared" si="22"/>
        <v>70725</v>
      </c>
      <c r="X28" s="132">
        <f t="shared" si="22"/>
        <v>70725</v>
      </c>
      <c r="Y28" s="132">
        <f t="shared" si="22"/>
        <v>70725</v>
      </c>
      <c r="Z28" s="115">
        <f t="shared" ref="Z28:Z33" si="23">SUM(V28:Y28)</f>
        <v>282900</v>
      </c>
      <c r="AA28" s="131">
        <f t="shared" ref="AA28:AD33" si="24">$C28*3*((1+$W$2)*(1+$AB$2))</f>
        <v>81333.749999999985</v>
      </c>
      <c r="AB28" s="132">
        <f t="shared" si="24"/>
        <v>81333.749999999985</v>
      </c>
      <c r="AC28" s="132">
        <f t="shared" si="24"/>
        <v>81333.749999999985</v>
      </c>
      <c r="AD28" s="132">
        <f t="shared" si="24"/>
        <v>81333.749999999985</v>
      </c>
      <c r="AE28" s="115">
        <f t="shared" ref="AE28:AE33" si="25">SUM(AA28:AD28)</f>
        <v>325334.99999999994</v>
      </c>
      <c r="AF28" s="131">
        <f t="shared" ref="AF28:AI33" si="26">$C28*3*(((1+$W$2)*(1+$AB$2)*(1+$AG$2)))</f>
        <v>93533.812499999971</v>
      </c>
      <c r="AG28" s="132">
        <f t="shared" si="26"/>
        <v>93533.812499999971</v>
      </c>
      <c r="AH28" s="132">
        <f t="shared" si="26"/>
        <v>93533.812499999971</v>
      </c>
      <c r="AI28" s="133">
        <f t="shared" si="26"/>
        <v>93533.812499999971</v>
      </c>
      <c r="AJ28" s="115">
        <f t="shared" ref="AJ28:AJ33" si="27">SUM(AF28:AI28)</f>
        <v>374135.24999999988</v>
      </c>
      <c r="AK28" s="131">
        <f t="shared" ref="AK28:AN33" si="28">$C28*3*((1+$W$2)*(1+$AB$2)*(1+$AG$2)*(1+$AL$2))</f>
        <v>107563.88437499997</v>
      </c>
      <c r="AL28" s="132">
        <f t="shared" si="28"/>
        <v>107563.88437499997</v>
      </c>
      <c r="AM28" s="132">
        <f t="shared" si="28"/>
        <v>107563.88437499997</v>
      </c>
      <c r="AN28" s="132">
        <f t="shared" si="28"/>
        <v>107563.88437499997</v>
      </c>
      <c r="AO28" s="115">
        <f t="shared" ref="AO28:AO33" si="29">SUM(AK28:AN28)</f>
        <v>430255.53749999986</v>
      </c>
    </row>
    <row r="29" spans="2:41">
      <c r="B29" s="245" t="s">
        <v>191</v>
      </c>
      <c r="C29" s="5">
        <f>SUM('Cost Assumptions'!D35+'Cost Assumptions'!D36+'Cost Assumptions'!D37+'Cost Assumptions'!D39+'Cost Assumptions'!D40)*'CostRev comparison'!$D$5</f>
        <v>17500</v>
      </c>
      <c r="E29" s="131">
        <f>$C29-'Cost Assumptions'!$D$36-'Cost Assumptions'!$D$35</f>
        <v>9500</v>
      </c>
      <c r="F29" s="131">
        <f>$C29-'Cost Assumptions'!$D$36-'Cost Assumptions'!$D$35</f>
        <v>9500</v>
      </c>
      <c r="G29" s="131">
        <f>$C29-'Cost Assumptions'!$D$36-'Cost Assumptions'!$D$35</f>
        <v>9500</v>
      </c>
      <c r="H29" s="132">
        <f t="shared" si="14"/>
        <v>52500</v>
      </c>
      <c r="I29" s="132">
        <f>$C29-'Cost Assumptions'!$D$36/2-'Cost Assumptions'!$D$35</f>
        <v>12500</v>
      </c>
      <c r="J29" s="132">
        <f>$C29-'Cost Assumptions'!$D$36/2</f>
        <v>14500</v>
      </c>
      <c r="K29" s="132">
        <f t="shared" si="15"/>
        <v>17500</v>
      </c>
      <c r="L29" s="132">
        <f t="shared" si="16"/>
        <v>52500</v>
      </c>
      <c r="M29" s="132">
        <f t="shared" si="17"/>
        <v>17500</v>
      </c>
      <c r="N29" s="132">
        <f t="shared" si="17"/>
        <v>17500</v>
      </c>
      <c r="O29" s="132">
        <f t="shared" si="17"/>
        <v>17500</v>
      </c>
      <c r="P29" s="132">
        <f t="shared" si="18"/>
        <v>52500</v>
      </c>
      <c r="Q29" s="132">
        <f t="shared" si="19"/>
        <v>17500</v>
      </c>
      <c r="R29" s="132">
        <f t="shared" si="19"/>
        <v>17500</v>
      </c>
      <c r="S29" s="132">
        <f t="shared" si="19"/>
        <v>17500</v>
      </c>
      <c r="T29" s="132">
        <f t="shared" si="20"/>
        <v>52500</v>
      </c>
      <c r="U29" s="115">
        <f t="shared" si="21"/>
        <v>178000</v>
      </c>
      <c r="V29" s="131">
        <f t="shared" si="22"/>
        <v>60374.999999999993</v>
      </c>
      <c r="W29" s="132">
        <f t="shared" si="22"/>
        <v>60374.999999999993</v>
      </c>
      <c r="X29" s="132">
        <f t="shared" si="22"/>
        <v>60374.999999999993</v>
      </c>
      <c r="Y29" s="132">
        <f t="shared" si="22"/>
        <v>60374.999999999993</v>
      </c>
      <c r="Z29" s="115">
        <f t="shared" si="23"/>
        <v>241499.99999999997</v>
      </c>
      <c r="AA29" s="131">
        <f t="shared" si="24"/>
        <v>69431.249999999985</v>
      </c>
      <c r="AB29" s="132">
        <f t="shared" si="24"/>
        <v>69431.249999999985</v>
      </c>
      <c r="AC29" s="132">
        <f t="shared" si="24"/>
        <v>69431.249999999985</v>
      </c>
      <c r="AD29" s="132">
        <f t="shared" si="24"/>
        <v>69431.249999999985</v>
      </c>
      <c r="AE29" s="115">
        <f t="shared" si="25"/>
        <v>277724.99999999994</v>
      </c>
      <c r="AF29" s="131">
        <f t="shared" si="26"/>
        <v>79845.937499999971</v>
      </c>
      <c r="AG29" s="132">
        <f t="shared" si="26"/>
        <v>79845.937499999971</v>
      </c>
      <c r="AH29" s="132">
        <f t="shared" si="26"/>
        <v>79845.937499999971</v>
      </c>
      <c r="AI29" s="133">
        <f t="shared" si="26"/>
        <v>79845.937499999971</v>
      </c>
      <c r="AJ29" s="115">
        <f t="shared" si="27"/>
        <v>319383.74999999988</v>
      </c>
      <c r="AK29" s="131">
        <f t="shared" si="28"/>
        <v>91822.828124999971</v>
      </c>
      <c r="AL29" s="132">
        <f t="shared" si="28"/>
        <v>91822.828124999971</v>
      </c>
      <c r="AM29" s="132">
        <f t="shared" si="28"/>
        <v>91822.828124999971</v>
      </c>
      <c r="AN29" s="132">
        <f t="shared" si="28"/>
        <v>91822.828124999971</v>
      </c>
      <c r="AO29" s="115">
        <f t="shared" si="29"/>
        <v>367291.31249999988</v>
      </c>
    </row>
    <row r="30" spans="2:41">
      <c r="B30" s="245" t="s">
        <v>192</v>
      </c>
      <c r="C30" s="5">
        <f>'Cost Assumptions'!D33*'CostRev comparison'!$D$5</f>
        <v>1500</v>
      </c>
      <c r="E30" s="131">
        <f>$C30-$C30</f>
        <v>0</v>
      </c>
      <c r="F30" s="131">
        <f>$C30-$C30</f>
        <v>0</v>
      </c>
      <c r="G30" s="131">
        <f>$C30-$C30</f>
        <v>0</v>
      </c>
      <c r="H30" s="132">
        <f t="shared" si="14"/>
        <v>4500</v>
      </c>
      <c r="I30" s="132">
        <f t="shared" si="15"/>
        <v>1500</v>
      </c>
      <c r="J30" s="132">
        <f t="shared" si="15"/>
        <v>1500</v>
      </c>
      <c r="K30" s="132">
        <f t="shared" si="15"/>
        <v>1500</v>
      </c>
      <c r="L30" s="132">
        <f t="shared" si="16"/>
        <v>4500</v>
      </c>
      <c r="M30" s="132">
        <f t="shared" si="17"/>
        <v>1500</v>
      </c>
      <c r="N30" s="132">
        <f t="shared" si="17"/>
        <v>1500</v>
      </c>
      <c r="O30" s="132">
        <f t="shared" si="17"/>
        <v>1500</v>
      </c>
      <c r="P30" s="132">
        <f t="shared" si="18"/>
        <v>4500</v>
      </c>
      <c r="Q30" s="132">
        <f t="shared" si="19"/>
        <v>1500</v>
      </c>
      <c r="R30" s="132">
        <f t="shared" si="19"/>
        <v>1500</v>
      </c>
      <c r="S30" s="132">
        <f t="shared" si="19"/>
        <v>1500</v>
      </c>
      <c r="T30" s="132">
        <f t="shared" si="20"/>
        <v>4500</v>
      </c>
      <c r="U30" s="115">
        <f t="shared" si="21"/>
        <v>13500</v>
      </c>
      <c r="V30" s="131">
        <f t="shared" si="22"/>
        <v>5175</v>
      </c>
      <c r="W30" s="132">
        <f t="shared" si="22"/>
        <v>5175</v>
      </c>
      <c r="X30" s="132">
        <f t="shared" si="22"/>
        <v>5175</v>
      </c>
      <c r="Y30" s="132">
        <f t="shared" si="22"/>
        <v>5175</v>
      </c>
      <c r="Z30" s="115">
        <f t="shared" si="23"/>
        <v>20700</v>
      </c>
      <c r="AA30" s="131">
        <f t="shared" si="24"/>
        <v>5951.2499999999991</v>
      </c>
      <c r="AB30" s="132">
        <f t="shared" si="24"/>
        <v>5951.2499999999991</v>
      </c>
      <c r="AC30" s="132">
        <f t="shared" si="24"/>
        <v>5951.2499999999991</v>
      </c>
      <c r="AD30" s="132">
        <f t="shared" si="24"/>
        <v>5951.2499999999991</v>
      </c>
      <c r="AE30" s="115">
        <f t="shared" si="25"/>
        <v>23804.999999999996</v>
      </c>
      <c r="AF30" s="131">
        <f t="shared" si="26"/>
        <v>6843.9374999999982</v>
      </c>
      <c r="AG30" s="132">
        <f t="shared" si="26"/>
        <v>6843.9374999999982</v>
      </c>
      <c r="AH30" s="132">
        <f t="shared" si="26"/>
        <v>6843.9374999999982</v>
      </c>
      <c r="AI30" s="133">
        <f t="shared" si="26"/>
        <v>6843.9374999999982</v>
      </c>
      <c r="AJ30" s="115">
        <f t="shared" si="27"/>
        <v>27375.749999999993</v>
      </c>
      <c r="AK30" s="131">
        <f t="shared" si="28"/>
        <v>7870.5281249999971</v>
      </c>
      <c r="AL30" s="132">
        <f t="shared" si="28"/>
        <v>7870.5281249999971</v>
      </c>
      <c r="AM30" s="132">
        <f t="shared" si="28"/>
        <v>7870.5281249999971</v>
      </c>
      <c r="AN30" s="132">
        <f t="shared" si="28"/>
        <v>7870.5281249999971</v>
      </c>
      <c r="AO30" s="115">
        <f t="shared" si="29"/>
        <v>31482.112499999988</v>
      </c>
    </row>
    <row r="31" spans="2:41">
      <c r="B31" s="245" t="s">
        <v>210</v>
      </c>
      <c r="C31" s="5">
        <f>'Cost Assumptions'!D49*'CostRev comparison'!$D$5</f>
        <v>3000</v>
      </c>
      <c r="E31" s="131">
        <f t="shared" ref="E31:G33" si="30">$C31</f>
        <v>3000</v>
      </c>
      <c r="F31" s="132">
        <f t="shared" si="30"/>
        <v>3000</v>
      </c>
      <c r="G31" s="132">
        <f t="shared" si="30"/>
        <v>3000</v>
      </c>
      <c r="H31" s="132">
        <f t="shared" si="14"/>
        <v>9000</v>
      </c>
      <c r="I31" s="132">
        <f t="shared" si="15"/>
        <v>3000</v>
      </c>
      <c r="J31" s="132">
        <f t="shared" si="15"/>
        <v>3000</v>
      </c>
      <c r="K31" s="132">
        <f t="shared" si="15"/>
        <v>3000</v>
      </c>
      <c r="L31" s="132">
        <f t="shared" si="16"/>
        <v>9000</v>
      </c>
      <c r="M31" s="132">
        <f t="shared" si="17"/>
        <v>3000</v>
      </c>
      <c r="N31" s="132">
        <f t="shared" si="17"/>
        <v>3000</v>
      </c>
      <c r="O31" s="132">
        <f t="shared" si="17"/>
        <v>3000</v>
      </c>
      <c r="P31" s="132">
        <f t="shared" si="18"/>
        <v>9000</v>
      </c>
      <c r="Q31" s="132">
        <f t="shared" si="19"/>
        <v>3000</v>
      </c>
      <c r="R31" s="132">
        <f t="shared" si="19"/>
        <v>3000</v>
      </c>
      <c r="S31" s="132">
        <f t="shared" si="19"/>
        <v>3000</v>
      </c>
      <c r="T31" s="132">
        <f t="shared" si="20"/>
        <v>9000</v>
      </c>
      <c r="U31" s="115">
        <f t="shared" si="21"/>
        <v>36000</v>
      </c>
      <c r="V31" s="131">
        <f t="shared" si="22"/>
        <v>10350</v>
      </c>
      <c r="W31" s="132">
        <f t="shared" si="22"/>
        <v>10350</v>
      </c>
      <c r="X31" s="132">
        <f t="shared" si="22"/>
        <v>10350</v>
      </c>
      <c r="Y31" s="132">
        <f t="shared" si="22"/>
        <v>10350</v>
      </c>
      <c r="Z31" s="115">
        <f t="shared" si="23"/>
        <v>41400</v>
      </c>
      <c r="AA31" s="131">
        <f t="shared" si="24"/>
        <v>11902.499999999998</v>
      </c>
      <c r="AB31" s="132">
        <f t="shared" si="24"/>
        <v>11902.499999999998</v>
      </c>
      <c r="AC31" s="132">
        <f t="shared" si="24"/>
        <v>11902.499999999998</v>
      </c>
      <c r="AD31" s="132">
        <f t="shared" si="24"/>
        <v>11902.499999999998</v>
      </c>
      <c r="AE31" s="115">
        <f t="shared" si="25"/>
        <v>47609.999999999993</v>
      </c>
      <c r="AF31" s="131">
        <f t="shared" si="26"/>
        <v>13687.874999999996</v>
      </c>
      <c r="AG31" s="132">
        <f t="shared" si="26"/>
        <v>13687.874999999996</v>
      </c>
      <c r="AH31" s="132">
        <f t="shared" si="26"/>
        <v>13687.874999999996</v>
      </c>
      <c r="AI31" s="133">
        <f t="shared" si="26"/>
        <v>13687.874999999996</v>
      </c>
      <c r="AJ31" s="115">
        <f t="shared" si="27"/>
        <v>54751.499999999985</v>
      </c>
      <c r="AK31" s="131">
        <f t="shared" si="28"/>
        <v>15741.056249999994</v>
      </c>
      <c r="AL31" s="132">
        <f t="shared" si="28"/>
        <v>15741.056249999994</v>
      </c>
      <c r="AM31" s="132">
        <f t="shared" si="28"/>
        <v>15741.056249999994</v>
      </c>
      <c r="AN31" s="132">
        <f t="shared" si="28"/>
        <v>15741.056249999994</v>
      </c>
      <c r="AO31" s="115">
        <f t="shared" si="29"/>
        <v>62964.224999999977</v>
      </c>
    </row>
    <row r="32" spans="2:41">
      <c r="B32" s="245" t="s">
        <v>103</v>
      </c>
      <c r="C32" s="5">
        <f>(C28+C29)*'Cost Assumptions'!D43*'CostRev comparison'!$D$5</f>
        <v>5244</v>
      </c>
      <c r="E32" s="131">
        <f t="shared" si="30"/>
        <v>5244</v>
      </c>
      <c r="F32" s="132">
        <f t="shared" si="30"/>
        <v>5244</v>
      </c>
      <c r="G32" s="132">
        <f t="shared" si="30"/>
        <v>5244</v>
      </c>
      <c r="H32" s="132">
        <f t="shared" si="14"/>
        <v>15732</v>
      </c>
      <c r="I32" s="132">
        <f t="shared" si="15"/>
        <v>5244</v>
      </c>
      <c r="J32" s="132">
        <f t="shared" si="15"/>
        <v>5244</v>
      </c>
      <c r="K32" s="132">
        <f t="shared" si="15"/>
        <v>5244</v>
      </c>
      <c r="L32" s="132">
        <f t="shared" si="16"/>
        <v>15732</v>
      </c>
      <c r="M32" s="132">
        <f t="shared" si="17"/>
        <v>5244</v>
      </c>
      <c r="N32" s="132">
        <f t="shared" si="17"/>
        <v>5244</v>
      </c>
      <c r="O32" s="132">
        <f t="shared" si="17"/>
        <v>5244</v>
      </c>
      <c r="P32" s="132">
        <f t="shared" si="18"/>
        <v>15732</v>
      </c>
      <c r="Q32" s="132">
        <f t="shared" si="19"/>
        <v>5244</v>
      </c>
      <c r="R32" s="132">
        <f t="shared" si="19"/>
        <v>5244</v>
      </c>
      <c r="S32" s="132">
        <f t="shared" si="19"/>
        <v>5244</v>
      </c>
      <c r="T32" s="132">
        <f t="shared" si="20"/>
        <v>15732</v>
      </c>
      <c r="U32" s="115">
        <f t="shared" si="21"/>
        <v>62928</v>
      </c>
      <c r="V32" s="131">
        <f t="shared" si="22"/>
        <v>18091.8</v>
      </c>
      <c r="W32" s="132">
        <f t="shared" si="22"/>
        <v>18091.8</v>
      </c>
      <c r="X32" s="132">
        <f t="shared" si="22"/>
        <v>18091.8</v>
      </c>
      <c r="Y32" s="132">
        <f t="shared" si="22"/>
        <v>18091.8</v>
      </c>
      <c r="Z32" s="115">
        <f t="shared" si="23"/>
        <v>72367.199999999997</v>
      </c>
      <c r="AA32" s="131">
        <f t="shared" si="24"/>
        <v>20805.569999999996</v>
      </c>
      <c r="AB32" s="132">
        <f t="shared" si="24"/>
        <v>20805.569999999996</v>
      </c>
      <c r="AC32" s="132">
        <f t="shared" si="24"/>
        <v>20805.569999999996</v>
      </c>
      <c r="AD32" s="132">
        <f t="shared" si="24"/>
        <v>20805.569999999996</v>
      </c>
      <c r="AE32" s="115">
        <f t="shared" si="25"/>
        <v>83222.279999999984</v>
      </c>
      <c r="AF32" s="131">
        <f t="shared" si="26"/>
        <v>23926.405499999993</v>
      </c>
      <c r="AG32" s="132">
        <f t="shared" si="26"/>
        <v>23926.405499999993</v>
      </c>
      <c r="AH32" s="132">
        <f t="shared" si="26"/>
        <v>23926.405499999993</v>
      </c>
      <c r="AI32" s="133">
        <f t="shared" si="26"/>
        <v>23926.405499999993</v>
      </c>
      <c r="AJ32" s="115">
        <f t="shared" si="27"/>
        <v>95705.621999999974</v>
      </c>
      <c r="AK32" s="131">
        <f t="shared" si="28"/>
        <v>27515.366324999992</v>
      </c>
      <c r="AL32" s="132">
        <f t="shared" si="28"/>
        <v>27515.366324999992</v>
      </c>
      <c r="AM32" s="132">
        <f t="shared" si="28"/>
        <v>27515.366324999992</v>
      </c>
      <c r="AN32" s="132">
        <f t="shared" si="28"/>
        <v>27515.366324999992</v>
      </c>
      <c r="AO32" s="115">
        <f t="shared" si="29"/>
        <v>110061.46529999997</v>
      </c>
    </row>
    <row r="33" spans="2:41" ht="17" thickBot="1">
      <c r="B33" s="245" t="s">
        <v>193</v>
      </c>
      <c r="C33" s="5">
        <f>(C28+C29)*'Cost Assumptions'!D42*'CostRev comparison'!$D$5</f>
        <v>5700</v>
      </c>
      <c r="E33" s="131">
        <f t="shared" si="30"/>
        <v>5700</v>
      </c>
      <c r="F33" s="132">
        <f t="shared" si="30"/>
        <v>5700</v>
      </c>
      <c r="G33" s="132">
        <f t="shared" si="30"/>
        <v>5700</v>
      </c>
      <c r="H33" s="132">
        <f t="shared" si="14"/>
        <v>17100</v>
      </c>
      <c r="I33" s="132">
        <f t="shared" si="15"/>
        <v>5700</v>
      </c>
      <c r="J33" s="132">
        <f t="shared" si="15"/>
        <v>5700</v>
      </c>
      <c r="K33" s="132">
        <f t="shared" si="15"/>
        <v>5700</v>
      </c>
      <c r="L33" s="132">
        <f t="shared" si="16"/>
        <v>17100</v>
      </c>
      <c r="M33" s="132">
        <f t="shared" si="17"/>
        <v>5700</v>
      </c>
      <c r="N33" s="132">
        <f t="shared" si="17"/>
        <v>5700</v>
      </c>
      <c r="O33" s="132">
        <f t="shared" si="17"/>
        <v>5700</v>
      </c>
      <c r="P33" s="132">
        <f t="shared" si="18"/>
        <v>17100</v>
      </c>
      <c r="Q33" s="132">
        <f t="shared" si="19"/>
        <v>5700</v>
      </c>
      <c r="R33" s="132">
        <f t="shared" si="19"/>
        <v>5700</v>
      </c>
      <c r="S33" s="132">
        <f t="shared" si="19"/>
        <v>5700</v>
      </c>
      <c r="T33" s="132">
        <f t="shared" si="20"/>
        <v>17100</v>
      </c>
      <c r="U33" s="115">
        <f t="shared" si="21"/>
        <v>68400</v>
      </c>
      <c r="V33" s="131">
        <f t="shared" si="22"/>
        <v>19665</v>
      </c>
      <c r="W33" s="132">
        <f t="shared" si="22"/>
        <v>19665</v>
      </c>
      <c r="X33" s="132">
        <f t="shared" si="22"/>
        <v>19665</v>
      </c>
      <c r="Y33" s="132">
        <f t="shared" si="22"/>
        <v>19665</v>
      </c>
      <c r="Z33" s="115">
        <f t="shared" si="23"/>
        <v>78660</v>
      </c>
      <c r="AA33" s="131">
        <f t="shared" si="24"/>
        <v>22614.749999999996</v>
      </c>
      <c r="AB33" s="132">
        <f t="shared" si="24"/>
        <v>22614.749999999996</v>
      </c>
      <c r="AC33" s="132">
        <f t="shared" si="24"/>
        <v>22614.749999999996</v>
      </c>
      <c r="AD33" s="132">
        <f t="shared" si="24"/>
        <v>22614.749999999996</v>
      </c>
      <c r="AE33" s="115">
        <f t="shared" si="25"/>
        <v>90458.999999999985</v>
      </c>
      <c r="AF33" s="131">
        <f t="shared" si="26"/>
        <v>26006.962499999991</v>
      </c>
      <c r="AG33" s="132">
        <f t="shared" si="26"/>
        <v>26006.962499999991</v>
      </c>
      <c r="AH33" s="132">
        <f t="shared" si="26"/>
        <v>26006.962499999991</v>
      </c>
      <c r="AI33" s="133">
        <f t="shared" si="26"/>
        <v>26006.962499999991</v>
      </c>
      <c r="AJ33" s="115">
        <f t="shared" si="27"/>
        <v>104027.84999999996</v>
      </c>
      <c r="AK33" s="131">
        <f t="shared" si="28"/>
        <v>29908.006874999992</v>
      </c>
      <c r="AL33" s="132">
        <f t="shared" si="28"/>
        <v>29908.006874999992</v>
      </c>
      <c r="AM33" s="132">
        <f t="shared" si="28"/>
        <v>29908.006874999992</v>
      </c>
      <c r="AN33" s="132">
        <f t="shared" si="28"/>
        <v>29908.006874999992</v>
      </c>
      <c r="AO33" s="115">
        <f t="shared" si="29"/>
        <v>119632.02749999997</v>
      </c>
    </row>
    <row r="34" spans="2:41">
      <c r="B34" s="245"/>
      <c r="E34" s="134"/>
      <c r="F34" s="135"/>
      <c r="G34" s="135"/>
      <c r="H34" s="135">
        <f>SUM(H28:H33)</f>
        <v>160332</v>
      </c>
      <c r="I34" s="135"/>
      <c r="J34" s="135"/>
      <c r="K34" s="135"/>
      <c r="L34" s="135">
        <f>SUM(L28:L33)</f>
        <v>160332</v>
      </c>
      <c r="M34" s="135"/>
      <c r="N34" s="135"/>
      <c r="O34" s="135"/>
      <c r="P34" s="135">
        <f>SUM(P28:P33)</f>
        <v>160332</v>
      </c>
      <c r="Q34" s="135"/>
      <c r="R34" s="135"/>
      <c r="S34" s="135"/>
      <c r="T34" s="135">
        <f t="shared" ref="T34:AO34" si="31">SUM(T28:T33)</f>
        <v>160332</v>
      </c>
      <c r="U34" s="250">
        <f>SUM(U28:U33)</f>
        <v>603328</v>
      </c>
      <c r="V34" s="134">
        <f t="shared" si="31"/>
        <v>184381.8</v>
      </c>
      <c r="W34" s="135">
        <f t="shared" si="31"/>
        <v>184381.8</v>
      </c>
      <c r="X34" s="135">
        <f t="shared" si="31"/>
        <v>184381.8</v>
      </c>
      <c r="Y34" s="135">
        <f t="shared" si="31"/>
        <v>184381.8</v>
      </c>
      <c r="Z34" s="250">
        <f t="shared" si="31"/>
        <v>737527.2</v>
      </c>
      <c r="AA34" s="134">
        <f t="shared" si="31"/>
        <v>212039.06999999998</v>
      </c>
      <c r="AB34" s="135">
        <f t="shared" si="31"/>
        <v>212039.06999999998</v>
      </c>
      <c r="AC34" s="135">
        <f t="shared" si="31"/>
        <v>212039.06999999998</v>
      </c>
      <c r="AD34" s="135">
        <f t="shared" si="31"/>
        <v>212039.06999999998</v>
      </c>
      <c r="AE34" s="250">
        <f t="shared" si="31"/>
        <v>848156.27999999991</v>
      </c>
      <c r="AF34" s="134">
        <f t="shared" si="31"/>
        <v>243844.93049999993</v>
      </c>
      <c r="AG34" s="135">
        <f t="shared" si="31"/>
        <v>243844.93049999993</v>
      </c>
      <c r="AH34" s="135">
        <f t="shared" si="31"/>
        <v>243844.93049999993</v>
      </c>
      <c r="AI34" s="136">
        <f t="shared" si="31"/>
        <v>243844.93049999993</v>
      </c>
      <c r="AJ34" s="250">
        <f t="shared" si="31"/>
        <v>975379.72199999972</v>
      </c>
      <c r="AK34" s="134">
        <f t="shared" si="31"/>
        <v>280421.67007499991</v>
      </c>
      <c r="AL34" s="135">
        <f t="shared" si="31"/>
        <v>280421.67007499991</v>
      </c>
      <c r="AM34" s="135">
        <f t="shared" si="31"/>
        <v>280421.67007499991</v>
      </c>
      <c r="AN34" s="135">
        <f t="shared" si="31"/>
        <v>280421.67007499991</v>
      </c>
      <c r="AO34" s="250">
        <f t="shared" si="31"/>
        <v>1121686.6802999997</v>
      </c>
    </row>
    <row r="35" spans="2:41">
      <c r="B35" s="249" t="s">
        <v>132</v>
      </c>
      <c r="E35" s="131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15"/>
      <c r="V35" s="131"/>
      <c r="W35" s="132"/>
      <c r="X35" s="132"/>
      <c r="Y35" s="132"/>
      <c r="Z35" s="115"/>
      <c r="AA35" s="131"/>
      <c r="AB35" s="132"/>
      <c r="AC35" s="132"/>
      <c r="AD35" s="132"/>
      <c r="AE35" s="115"/>
      <c r="AF35" s="131"/>
      <c r="AG35" s="132"/>
      <c r="AH35" s="132"/>
      <c r="AI35" s="133"/>
      <c r="AJ35" s="115"/>
      <c r="AK35" s="131"/>
      <c r="AL35" s="132"/>
      <c r="AM35" s="132"/>
      <c r="AN35" s="132"/>
      <c r="AO35" s="115"/>
    </row>
    <row r="36" spans="2:41">
      <c r="B36" s="245" t="s">
        <v>106</v>
      </c>
      <c r="C36" s="5">
        <f>'Cost Assumptions'!D46*'CostRev comparison'!$D$5</f>
        <v>10000</v>
      </c>
      <c r="E36" s="131">
        <f>$C36-C36</f>
        <v>0</v>
      </c>
      <c r="F36" s="131">
        <f>$C36-C36</f>
        <v>0</v>
      </c>
      <c r="G36" s="131">
        <f>$C36-$C36</f>
        <v>0</v>
      </c>
      <c r="H36" s="131">
        <f>$C36*3</f>
        <v>30000</v>
      </c>
      <c r="I36" s="131">
        <f>$C36-$C36</f>
        <v>0</v>
      </c>
      <c r="J36" s="131">
        <f>$C36</f>
        <v>10000</v>
      </c>
      <c r="K36" s="131">
        <f>$C36</f>
        <v>10000</v>
      </c>
      <c r="L36" s="131">
        <f t="shared" ref="I36:L39" si="32">$C36</f>
        <v>10000</v>
      </c>
      <c r="M36" s="132">
        <f>$C36</f>
        <v>10000</v>
      </c>
      <c r="N36" s="132">
        <f t="shared" ref="N36:S39" si="33">$C36</f>
        <v>10000</v>
      </c>
      <c r="O36" s="132">
        <f t="shared" si="33"/>
        <v>10000</v>
      </c>
      <c r="P36" s="132">
        <f t="shared" si="33"/>
        <v>10000</v>
      </c>
      <c r="Q36" s="132">
        <f t="shared" si="33"/>
        <v>10000</v>
      </c>
      <c r="R36" s="132">
        <f t="shared" si="33"/>
        <v>10000</v>
      </c>
      <c r="S36" s="132">
        <f t="shared" si="33"/>
        <v>10000</v>
      </c>
      <c r="T36" s="132">
        <f>$C36*3</f>
        <v>30000</v>
      </c>
      <c r="U36" s="115">
        <f>SUM(E36:G36)+SUM(I36:K36)+SUM(M36:O36)+SUM(Q36:S36)</f>
        <v>80000</v>
      </c>
      <c r="V36" s="131">
        <f>($C36)*3*(1+$W$2)</f>
        <v>34500</v>
      </c>
      <c r="W36" s="131">
        <f>($C36)*3*(1+$W$2)</f>
        <v>34500</v>
      </c>
      <c r="X36" s="131">
        <f>($C36)*3*(1+$W$2)</f>
        <v>34500</v>
      </c>
      <c r="Y36" s="131">
        <f>($C36)*3*(1+$W$2)</f>
        <v>34500</v>
      </c>
      <c r="Z36" s="115">
        <f>SUM(V36:Y36)</f>
        <v>138000</v>
      </c>
      <c r="AA36" s="131">
        <f>($C36)*3*(1+$W$2)*(1+$AB$2)</f>
        <v>39675</v>
      </c>
      <c r="AB36" s="131">
        <f>($C36)*3*(1+$W$2)*(1+$AB$2)</f>
        <v>39675</v>
      </c>
      <c r="AC36" s="131">
        <f>($C36)*3*(1+$W$2)*(1+$AB$2)</f>
        <v>39675</v>
      </c>
      <c r="AD36" s="131">
        <f>($C36)*3*(1+$W$2)*(1+$AB$2)</f>
        <v>39675</v>
      </c>
      <c r="AE36" s="115">
        <f>SUM(AA36:AD36)</f>
        <v>158700</v>
      </c>
      <c r="AF36" s="131">
        <f t="shared" ref="AF36:AI39" si="34">$C36*3*(((1+$W$2)*(1+$AB$2)*(1+$AG$2)))</f>
        <v>45626.249999999985</v>
      </c>
      <c r="AG36" s="132">
        <f t="shared" si="34"/>
        <v>45626.249999999985</v>
      </c>
      <c r="AH36" s="132">
        <f t="shared" si="34"/>
        <v>45626.249999999985</v>
      </c>
      <c r="AI36" s="133">
        <f t="shared" si="34"/>
        <v>45626.249999999985</v>
      </c>
      <c r="AJ36" s="115">
        <f>SUM(AF36:AI36)</f>
        <v>182504.99999999994</v>
      </c>
      <c r="AK36" s="131">
        <f t="shared" ref="AK36:AN39" si="35">$C36*3*((1+$W$2)*(1+$AB$2)*(1+$AG$2)*(1+$AL$2))</f>
        <v>52470.187499999985</v>
      </c>
      <c r="AL36" s="132">
        <f t="shared" si="35"/>
        <v>52470.187499999985</v>
      </c>
      <c r="AM36" s="132">
        <f t="shared" si="35"/>
        <v>52470.187499999985</v>
      </c>
      <c r="AN36" s="132">
        <f t="shared" si="35"/>
        <v>52470.187499999985</v>
      </c>
      <c r="AO36" s="115">
        <f>SUM(AK36:AN36)</f>
        <v>209880.74999999994</v>
      </c>
    </row>
    <row r="37" spans="2:41">
      <c r="B37" s="245" t="s">
        <v>194</v>
      </c>
      <c r="C37" s="5">
        <f>'Cost Assumptions'!D47*'CostRev comparison'!$D$5</f>
        <v>5000</v>
      </c>
      <c r="E37" s="131">
        <f>$C37-$C37</f>
        <v>0</v>
      </c>
      <c r="F37" s="131">
        <f>$C37-$C37</f>
        <v>0</v>
      </c>
      <c r="G37" s="131">
        <f>$C37-$C37+25000</f>
        <v>25000</v>
      </c>
      <c r="H37" s="132">
        <f>$C37*3</f>
        <v>15000</v>
      </c>
      <c r="I37" s="131">
        <f>$C37-$C37+25000</f>
        <v>25000</v>
      </c>
      <c r="J37" s="132">
        <f t="shared" si="32"/>
        <v>5000</v>
      </c>
      <c r="K37" s="132">
        <f t="shared" si="32"/>
        <v>5000</v>
      </c>
      <c r="L37" s="132">
        <f>$C37*3</f>
        <v>15000</v>
      </c>
      <c r="M37" s="132">
        <f t="shared" ref="M37:O39" si="36">$C37</f>
        <v>5000</v>
      </c>
      <c r="N37" s="132">
        <f t="shared" si="36"/>
        <v>5000</v>
      </c>
      <c r="O37" s="132">
        <f t="shared" si="36"/>
        <v>5000</v>
      </c>
      <c r="P37" s="132">
        <f>$C37*3</f>
        <v>15000</v>
      </c>
      <c r="Q37" s="132">
        <f t="shared" si="33"/>
        <v>5000</v>
      </c>
      <c r="R37" s="132">
        <f t="shared" si="33"/>
        <v>5000</v>
      </c>
      <c r="S37" s="132">
        <f t="shared" si="33"/>
        <v>5000</v>
      </c>
      <c r="T37" s="132">
        <f>$C37*3</f>
        <v>15000</v>
      </c>
      <c r="U37" s="115">
        <f>SUM(E37:G37)+SUM(I37:K37)+SUM(M37:O37)+SUM(Q37:S37)</f>
        <v>90000</v>
      </c>
      <c r="V37" s="131">
        <f t="shared" ref="V37:Y39" si="37">$C37*3*(1+$W$2)</f>
        <v>17250</v>
      </c>
      <c r="W37" s="132">
        <f t="shared" si="37"/>
        <v>17250</v>
      </c>
      <c r="X37" s="132">
        <f t="shared" si="37"/>
        <v>17250</v>
      </c>
      <c r="Y37" s="132">
        <f t="shared" si="37"/>
        <v>17250</v>
      </c>
      <c r="Z37" s="115">
        <f>SUM(V37:Y37)</f>
        <v>69000</v>
      </c>
      <c r="AA37" s="131">
        <f t="shared" ref="AA37:AD39" si="38">$C37*3*((1+$W$2)*(1+$AB$2))</f>
        <v>19837.499999999996</v>
      </c>
      <c r="AB37" s="132">
        <f t="shared" si="38"/>
        <v>19837.499999999996</v>
      </c>
      <c r="AC37" s="132">
        <f t="shared" si="38"/>
        <v>19837.499999999996</v>
      </c>
      <c r="AD37" s="132">
        <f t="shared" si="38"/>
        <v>19837.499999999996</v>
      </c>
      <c r="AE37" s="115">
        <f>SUM(AA37:AD37)</f>
        <v>79349.999999999985</v>
      </c>
      <c r="AF37" s="131">
        <f t="shared" si="34"/>
        <v>22813.124999999993</v>
      </c>
      <c r="AG37" s="132">
        <f t="shared" si="34"/>
        <v>22813.124999999993</v>
      </c>
      <c r="AH37" s="132">
        <f t="shared" si="34"/>
        <v>22813.124999999993</v>
      </c>
      <c r="AI37" s="133">
        <f t="shared" si="34"/>
        <v>22813.124999999993</v>
      </c>
      <c r="AJ37" s="115">
        <f>SUM(AF37:AI37)</f>
        <v>91252.499999999971</v>
      </c>
      <c r="AK37" s="131">
        <f t="shared" si="35"/>
        <v>26235.093749999993</v>
      </c>
      <c r="AL37" s="132">
        <f t="shared" si="35"/>
        <v>26235.093749999993</v>
      </c>
      <c r="AM37" s="132">
        <f t="shared" si="35"/>
        <v>26235.093749999993</v>
      </c>
      <c r="AN37" s="132">
        <f t="shared" si="35"/>
        <v>26235.093749999993</v>
      </c>
      <c r="AO37" s="115">
        <f>SUM(AK37:AN37)</f>
        <v>104940.37499999997</v>
      </c>
    </row>
    <row r="38" spans="2:41">
      <c r="B38" s="245" t="s">
        <v>109</v>
      </c>
      <c r="C38" s="5">
        <f>'Cost Assumptions'!D48*'CostRev comparison'!$D$5</f>
        <v>5000</v>
      </c>
      <c r="E38" s="131">
        <f>$C38-C38</f>
        <v>0</v>
      </c>
      <c r="F38" s="132">
        <f>$C38-C38</f>
        <v>0</v>
      </c>
      <c r="G38" s="132">
        <f>$C38-C38</f>
        <v>0</v>
      </c>
      <c r="H38" s="132">
        <f>$C38*3</f>
        <v>15000</v>
      </c>
      <c r="I38" s="132">
        <f>$C38-'Cost Assumptions'!$D$48/2</f>
        <v>2500</v>
      </c>
      <c r="J38" s="132">
        <f>$C38-'Cost Assumptions'!$D$48/2</f>
        <v>2500</v>
      </c>
      <c r="K38" s="132">
        <f t="shared" si="32"/>
        <v>5000</v>
      </c>
      <c r="L38" s="132">
        <f>$C38*3</f>
        <v>15000</v>
      </c>
      <c r="M38" s="132">
        <f t="shared" si="36"/>
        <v>5000</v>
      </c>
      <c r="N38" s="132">
        <f t="shared" si="36"/>
        <v>5000</v>
      </c>
      <c r="O38" s="132">
        <f t="shared" si="36"/>
        <v>5000</v>
      </c>
      <c r="P38" s="132">
        <f>$C38*3</f>
        <v>15000</v>
      </c>
      <c r="Q38" s="132">
        <f t="shared" si="33"/>
        <v>5000</v>
      </c>
      <c r="R38" s="132">
        <f t="shared" si="33"/>
        <v>5000</v>
      </c>
      <c r="S38" s="132">
        <f t="shared" si="33"/>
        <v>5000</v>
      </c>
      <c r="T38" s="132">
        <f>$C38*3</f>
        <v>15000</v>
      </c>
      <c r="U38" s="115">
        <f>SUM(E38:G38)+SUM(I38:K38)+SUM(M38:O38)+SUM(Q38:S38)</f>
        <v>40000</v>
      </c>
      <c r="V38" s="131">
        <f t="shared" si="37"/>
        <v>17250</v>
      </c>
      <c r="W38" s="132">
        <f t="shared" si="37"/>
        <v>17250</v>
      </c>
      <c r="X38" s="132">
        <f t="shared" si="37"/>
        <v>17250</v>
      </c>
      <c r="Y38" s="132">
        <f t="shared" si="37"/>
        <v>17250</v>
      </c>
      <c r="Z38" s="115">
        <f>SUM(V38:Y38)</f>
        <v>69000</v>
      </c>
      <c r="AA38" s="131">
        <f t="shared" si="38"/>
        <v>19837.499999999996</v>
      </c>
      <c r="AB38" s="132">
        <f t="shared" si="38"/>
        <v>19837.499999999996</v>
      </c>
      <c r="AC38" s="132">
        <f t="shared" si="38"/>
        <v>19837.499999999996</v>
      </c>
      <c r="AD38" s="132">
        <f t="shared" si="38"/>
        <v>19837.499999999996</v>
      </c>
      <c r="AE38" s="115">
        <f>SUM(AA38:AD38)</f>
        <v>79349.999999999985</v>
      </c>
      <c r="AF38" s="131">
        <f t="shared" si="34"/>
        <v>22813.124999999993</v>
      </c>
      <c r="AG38" s="132">
        <f t="shared" si="34"/>
        <v>22813.124999999993</v>
      </c>
      <c r="AH38" s="132">
        <f t="shared" si="34"/>
        <v>22813.124999999993</v>
      </c>
      <c r="AI38" s="133">
        <f t="shared" si="34"/>
        <v>22813.124999999993</v>
      </c>
      <c r="AJ38" s="115">
        <f>SUM(AF38:AI38)</f>
        <v>91252.499999999971</v>
      </c>
      <c r="AK38" s="131">
        <f t="shared" si="35"/>
        <v>26235.093749999993</v>
      </c>
      <c r="AL38" s="132">
        <f t="shared" si="35"/>
        <v>26235.093749999993</v>
      </c>
      <c r="AM38" s="132">
        <f t="shared" si="35"/>
        <v>26235.093749999993</v>
      </c>
      <c r="AN38" s="132">
        <f t="shared" si="35"/>
        <v>26235.093749999993</v>
      </c>
      <c r="AO38" s="115">
        <f>SUM(AK38:AN38)</f>
        <v>104940.37499999997</v>
      </c>
    </row>
    <row r="39" spans="2:41">
      <c r="B39" s="245" t="s">
        <v>133</v>
      </c>
      <c r="C39" s="5">
        <f>'Cost Assumptions'!D51*'CostRev comparison'!$D$5</f>
        <v>2000</v>
      </c>
      <c r="E39" s="131">
        <f t="shared" ref="E39:G39" si="39">$C39</f>
        <v>2000</v>
      </c>
      <c r="F39" s="132">
        <f t="shared" si="39"/>
        <v>2000</v>
      </c>
      <c r="G39" s="132">
        <f t="shared" si="39"/>
        <v>2000</v>
      </c>
      <c r="H39" s="132">
        <f>$C39*3</f>
        <v>6000</v>
      </c>
      <c r="I39" s="132">
        <f t="shared" si="32"/>
        <v>2000</v>
      </c>
      <c r="J39" s="132">
        <f t="shared" si="32"/>
        <v>2000</v>
      </c>
      <c r="K39" s="132">
        <f t="shared" si="32"/>
        <v>2000</v>
      </c>
      <c r="L39" s="132">
        <f>$C39*3</f>
        <v>6000</v>
      </c>
      <c r="M39" s="132">
        <f t="shared" si="36"/>
        <v>2000</v>
      </c>
      <c r="N39" s="132">
        <f t="shared" si="36"/>
        <v>2000</v>
      </c>
      <c r="O39" s="132">
        <f t="shared" si="36"/>
        <v>2000</v>
      </c>
      <c r="P39" s="132">
        <f>$C39*3</f>
        <v>6000</v>
      </c>
      <c r="Q39" s="132">
        <f t="shared" si="33"/>
        <v>2000</v>
      </c>
      <c r="R39" s="132">
        <f t="shared" si="33"/>
        <v>2000</v>
      </c>
      <c r="S39" s="132">
        <f t="shared" si="33"/>
        <v>2000</v>
      </c>
      <c r="T39" s="132">
        <f>$C39*3</f>
        <v>6000</v>
      </c>
      <c r="U39" s="115">
        <f>SUM(E39:G39)+SUM(I39:K39)+SUM(M39:O39)+SUM(Q39:S39)</f>
        <v>24000</v>
      </c>
      <c r="V39" s="131">
        <f t="shared" si="37"/>
        <v>6899.9999999999991</v>
      </c>
      <c r="W39" s="132">
        <f t="shared" si="37"/>
        <v>6899.9999999999991</v>
      </c>
      <c r="X39" s="132">
        <f t="shared" si="37"/>
        <v>6899.9999999999991</v>
      </c>
      <c r="Y39" s="132">
        <f t="shared" si="37"/>
        <v>6899.9999999999991</v>
      </c>
      <c r="Z39" s="115">
        <f>SUM(V39:Y39)</f>
        <v>27599.999999999996</v>
      </c>
      <c r="AA39" s="131">
        <f t="shared" si="38"/>
        <v>7934.9999999999991</v>
      </c>
      <c r="AB39" s="132">
        <f t="shared" si="38"/>
        <v>7934.9999999999991</v>
      </c>
      <c r="AC39" s="132">
        <f t="shared" si="38"/>
        <v>7934.9999999999991</v>
      </c>
      <c r="AD39" s="132">
        <f t="shared" si="38"/>
        <v>7934.9999999999991</v>
      </c>
      <c r="AE39" s="115">
        <f>SUM(AA39:AD39)</f>
        <v>31739.999999999996</v>
      </c>
      <c r="AF39" s="131">
        <f t="shared" si="34"/>
        <v>9125.2499999999964</v>
      </c>
      <c r="AG39" s="132">
        <f t="shared" si="34"/>
        <v>9125.2499999999964</v>
      </c>
      <c r="AH39" s="132">
        <f t="shared" si="34"/>
        <v>9125.2499999999964</v>
      </c>
      <c r="AI39" s="133">
        <f t="shared" si="34"/>
        <v>9125.2499999999964</v>
      </c>
      <c r="AJ39" s="115">
        <f>SUM(AF39:AI39)</f>
        <v>36500.999999999985</v>
      </c>
      <c r="AK39" s="131">
        <f t="shared" si="35"/>
        <v>10494.037499999997</v>
      </c>
      <c r="AL39" s="132">
        <f t="shared" si="35"/>
        <v>10494.037499999997</v>
      </c>
      <c r="AM39" s="132">
        <f t="shared" si="35"/>
        <v>10494.037499999997</v>
      </c>
      <c r="AN39" s="132">
        <f t="shared" si="35"/>
        <v>10494.037499999997</v>
      </c>
      <c r="AO39" s="115">
        <f>SUM(AK39:AN39)</f>
        <v>41976.149999999987</v>
      </c>
    </row>
    <row r="40" spans="2:41" ht="17" thickBot="1">
      <c r="B40" s="245" t="s">
        <v>195</v>
      </c>
      <c r="E40" s="131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15">
        <f>'Subscriber growth'!E74</f>
        <v>50000</v>
      </c>
      <c r="V40" s="131"/>
      <c r="W40" s="132"/>
      <c r="X40" s="132"/>
      <c r="Y40" s="132"/>
      <c r="Z40" s="115">
        <f>'Subscriber growth'!H74</f>
        <v>100000</v>
      </c>
      <c r="AA40" s="131"/>
      <c r="AB40" s="132"/>
      <c r="AC40" s="132"/>
      <c r="AD40" s="132"/>
      <c r="AE40" s="115">
        <f>'Subscriber growth'!K74</f>
        <v>200000</v>
      </c>
      <c r="AF40" s="131"/>
      <c r="AG40" s="132"/>
      <c r="AH40" s="132"/>
      <c r="AI40" s="133"/>
      <c r="AJ40" s="115">
        <f>'Subscriber growth'!N74</f>
        <v>400000</v>
      </c>
      <c r="AK40" s="131"/>
      <c r="AL40" s="132"/>
      <c r="AM40" s="132"/>
      <c r="AN40" s="132"/>
      <c r="AO40" s="115">
        <f>'Subscriber growth'!Q74</f>
        <v>800000</v>
      </c>
    </row>
    <row r="41" spans="2:41">
      <c r="B41" s="245"/>
      <c r="E41" s="134"/>
      <c r="F41" s="135"/>
      <c r="G41" s="135"/>
      <c r="H41" s="135">
        <f>SUM(H36:H39)</f>
        <v>66000</v>
      </c>
      <c r="I41" s="135"/>
      <c r="J41" s="135"/>
      <c r="K41" s="135"/>
      <c r="L41" s="135">
        <f t="shared" ref="L41:Y41" si="40">SUM(L36:L39)</f>
        <v>46000</v>
      </c>
      <c r="M41" s="135"/>
      <c r="N41" s="135"/>
      <c r="O41" s="135"/>
      <c r="P41" s="135">
        <f t="shared" si="40"/>
        <v>46000</v>
      </c>
      <c r="Q41" s="135"/>
      <c r="R41" s="135"/>
      <c r="S41" s="135"/>
      <c r="T41" s="135">
        <f t="shared" si="40"/>
        <v>66000</v>
      </c>
      <c r="U41" s="250">
        <f>SUM(U36:U40)</f>
        <v>284000</v>
      </c>
      <c r="V41" s="134">
        <f t="shared" si="40"/>
        <v>75900</v>
      </c>
      <c r="W41" s="135">
        <f t="shared" si="40"/>
        <v>75900</v>
      </c>
      <c r="X41" s="135">
        <f t="shared" si="40"/>
        <v>75900</v>
      </c>
      <c r="Y41" s="135">
        <f t="shared" si="40"/>
        <v>75900</v>
      </c>
      <c r="Z41" s="250">
        <f>SUM(Z36:Z40)</f>
        <v>403600</v>
      </c>
      <c r="AA41" s="134">
        <f t="shared" ref="AA41:AN41" si="41">SUM(AA36:AA39)</f>
        <v>87285</v>
      </c>
      <c r="AB41" s="135">
        <f t="shared" si="41"/>
        <v>87285</v>
      </c>
      <c r="AC41" s="135">
        <f t="shared" si="41"/>
        <v>87285</v>
      </c>
      <c r="AD41" s="135">
        <f t="shared" si="41"/>
        <v>87285</v>
      </c>
      <c r="AE41" s="250">
        <f>SUM(AE36:AE40)</f>
        <v>549140</v>
      </c>
      <c r="AF41" s="134">
        <f t="shared" si="41"/>
        <v>100377.74999999997</v>
      </c>
      <c r="AG41" s="135">
        <f t="shared" si="41"/>
        <v>100377.74999999997</v>
      </c>
      <c r="AH41" s="135">
        <f t="shared" si="41"/>
        <v>100377.74999999997</v>
      </c>
      <c r="AI41" s="136">
        <f t="shared" si="41"/>
        <v>100377.74999999997</v>
      </c>
      <c r="AJ41" s="250">
        <f>SUM(AJ36:AJ40)</f>
        <v>801510.99999999988</v>
      </c>
      <c r="AK41" s="134">
        <f t="shared" si="41"/>
        <v>115434.41249999996</v>
      </c>
      <c r="AL41" s="135">
        <f t="shared" si="41"/>
        <v>115434.41249999996</v>
      </c>
      <c r="AM41" s="135">
        <f t="shared" si="41"/>
        <v>115434.41249999996</v>
      </c>
      <c r="AN41" s="135">
        <f t="shared" si="41"/>
        <v>115434.41249999996</v>
      </c>
      <c r="AO41" s="250">
        <f>SUM(AO36:AO40)</f>
        <v>1261737.6499999999</v>
      </c>
    </row>
    <row r="42" spans="2:41">
      <c r="B42" s="249" t="s">
        <v>135</v>
      </c>
      <c r="E42" s="131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15"/>
      <c r="V42" s="131"/>
      <c r="W42" s="132"/>
      <c r="X42" s="132"/>
      <c r="Y42" s="132"/>
      <c r="Z42" s="115"/>
      <c r="AA42" s="131"/>
      <c r="AB42" s="132"/>
      <c r="AC42" s="132"/>
      <c r="AD42" s="132"/>
      <c r="AE42" s="115"/>
      <c r="AF42" s="131"/>
      <c r="AG42" s="132"/>
      <c r="AH42" s="132"/>
      <c r="AI42" s="133"/>
      <c r="AJ42" s="115"/>
      <c r="AK42" s="131"/>
      <c r="AL42" s="132"/>
      <c r="AM42" s="132"/>
      <c r="AN42" s="132"/>
      <c r="AO42" s="115"/>
    </row>
    <row r="43" spans="2:41">
      <c r="B43" s="245" t="s">
        <v>196</v>
      </c>
      <c r="C43" s="5">
        <f>'Cost Assumptions'!D53*'CostRev comparison'!$D$5</f>
        <v>1666.6666666666667</v>
      </c>
      <c r="E43" s="131">
        <f t="shared" ref="E43:G48" si="42">$C43</f>
        <v>1666.6666666666667</v>
      </c>
      <c r="F43" s="132">
        <f t="shared" si="42"/>
        <v>1666.6666666666667</v>
      </c>
      <c r="G43" s="132">
        <f t="shared" si="42"/>
        <v>1666.6666666666667</v>
      </c>
      <c r="H43" s="132">
        <f t="shared" ref="H43:H48" si="43">$C43*3</f>
        <v>5000</v>
      </c>
      <c r="I43" s="132">
        <f t="shared" ref="I43:K48" si="44">$C43</f>
        <v>1666.6666666666667</v>
      </c>
      <c r="J43" s="132">
        <f t="shared" si="44"/>
        <v>1666.6666666666667</v>
      </c>
      <c r="K43" s="132">
        <f t="shared" si="44"/>
        <v>1666.6666666666667</v>
      </c>
      <c r="L43" s="132">
        <f t="shared" ref="L43:L48" si="45">$C43*3</f>
        <v>5000</v>
      </c>
      <c r="M43" s="132">
        <f t="shared" ref="M43:O48" si="46">$C43</f>
        <v>1666.6666666666667</v>
      </c>
      <c r="N43" s="132">
        <f t="shared" si="46"/>
        <v>1666.6666666666667</v>
      </c>
      <c r="O43" s="132">
        <f t="shared" si="46"/>
        <v>1666.6666666666667</v>
      </c>
      <c r="P43" s="132">
        <f t="shared" ref="P43:P48" si="47">$C43*3</f>
        <v>5000</v>
      </c>
      <c r="Q43" s="132">
        <f t="shared" ref="Q43:S48" si="48">$C43</f>
        <v>1666.6666666666667</v>
      </c>
      <c r="R43" s="132">
        <f t="shared" si="48"/>
        <v>1666.6666666666667</v>
      </c>
      <c r="S43" s="132">
        <f t="shared" si="48"/>
        <v>1666.6666666666667</v>
      </c>
      <c r="T43" s="132">
        <f t="shared" ref="T43:T48" si="49">$C43*3</f>
        <v>5000</v>
      </c>
      <c r="U43" s="115">
        <f t="shared" ref="U43:U49" si="50">SUM(E43:G43)+SUM(I43:K43)+SUM(M43:O43)+SUM(Q43:S43)</f>
        <v>20000</v>
      </c>
      <c r="V43" s="131">
        <f t="shared" ref="V43:Y48" si="51">$C43*3*(1+$W$2)</f>
        <v>5750</v>
      </c>
      <c r="W43" s="132">
        <f t="shared" si="51"/>
        <v>5750</v>
      </c>
      <c r="X43" s="132">
        <f t="shared" si="51"/>
        <v>5750</v>
      </c>
      <c r="Y43" s="132">
        <f t="shared" si="51"/>
        <v>5750</v>
      </c>
      <c r="Z43" s="115">
        <f t="shared" ref="Z43:Z49" si="52">SUM(V43:Y43)</f>
        <v>23000</v>
      </c>
      <c r="AA43" s="131">
        <f t="shared" ref="AA43:AD48" si="53">$C43*3*((1+$W$2)*(1+$AB$2))</f>
        <v>6612.4999999999991</v>
      </c>
      <c r="AB43" s="132">
        <f t="shared" si="53"/>
        <v>6612.4999999999991</v>
      </c>
      <c r="AC43" s="132">
        <f t="shared" si="53"/>
        <v>6612.4999999999991</v>
      </c>
      <c r="AD43" s="132">
        <f t="shared" si="53"/>
        <v>6612.4999999999991</v>
      </c>
      <c r="AE43" s="115">
        <f t="shared" ref="AE43:AE49" si="54">SUM(AA43:AD43)</f>
        <v>26449.999999999996</v>
      </c>
      <c r="AF43" s="131">
        <f t="shared" ref="AF43:AI48" si="55">$C43*3*(((1+$W$2)*(1+$AB$2)*(1+$AG$2)))</f>
        <v>7604.3749999999973</v>
      </c>
      <c r="AG43" s="132">
        <f t="shared" si="55"/>
        <v>7604.3749999999973</v>
      </c>
      <c r="AH43" s="132">
        <f t="shared" si="55"/>
        <v>7604.3749999999973</v>
      </c>
      <c r="AI43" s="133">
        <f t="shared" si="55"/>
        <v>7604.3749999999973</v>
      </c>
      <c r="AJ43" s="115">
        <f t="shared" ref="AJ43:AJ49" si="56">SUM(AF43:AI43)</f>
        <v>30417.499999999989</v>
      </c>
      <c r="AK43" s="131">
        <f t="shared" ref="AK43:AN48" si="57">$C43*3*((1+$W$2)*(1+$AB$2)*(1+$AG$2)*(1+$AL$2))</f>
        <v>8745.0312499999964</v>
      </c>
      <c r="AL43" s="132">
        <f t="shared" si="57"/>
        <v>8745.0312499999964</v>
      </c>
      <c r="AM43" s="132">
        <f t="shared" si="57"/>
        <v>8745.0312499999964</v>
      </c>
      <c r="AN43" s="132">
        <f t="shared" si="57"/>
        <v>8745.0312499999964</v>
      </c>
      <c r="AO43" s="115">
        <f t="shared" ref="AO43:AO49" si="58">SUM(AK43:AN43)</f>
        <v>34980.124999999985</v>
      </c>
    </row>
    <row r="44" spans="2:41">
      <c r="B44" s="245" t="s">
        <v>114</v>
      </c>
      <c r="C44" s="5">
        <f>'Cost Assumptions'!D54*'CostRev comparison'!$D$5</f>
        <v>200</v>
      </c>
      <c r="E44" s="131">
        <f t="shared" si="42"/>
        <v>200</v>
      </c>
      <c r="F44" s="132">
        <f t="shared" si="42"/>
        <v>200</v>
      </c>
      <c r="G44" s="132">
        <f t="shared" si="42"/>
        <v>200</v>
      </c>
      <c r="H44" s="132">
        <f t="shared" si="43"/>
        <v>600</v>
      </c>
      <c r="I44" s="132">
        <f t="shared" si="44"/>
        <v>200</v>
      </c>
      <c r="J44" s="132">
        <f t="shared" si="44"/>
        <v>200</v>
      </c>
      <c r="K44" s="132">
        <f t="shared" si="44"/>
        <v>200</v>
      </c>
      <c r="L44" s="132">
        <f t="shared" si="45"/>
        <v>600</v>
      </c>
      <c r="M44" s="132">
        <f t="shared" si="46"/>
        <v>200</v>
      </c>
      <c r="N44" s="132">
        <f t="shared" si="46"/>
        <v>200</v>
      </c>
      <c r="O44" s="132">
        <f t="shared" si="46"/>
        <v>200</v>
      </c>
      <c r="P44" s="132">
        <f t="shared" si="47"/>
        <v>600</v>
      </c>
      <c r="Q44" s="132">
        <f t="shared" si="48"/>
        <v>200</v>
      </c>
      <c r="R44" s="132">
        <f t="shared" si="48"/>
        <v>200</v>
      </c>
      <c r="S44" s="132">
        <f t="shared" si="48"/>
        <v>200</v>
      </c>
      <c r="T44" s="132">
        <f t="shared" si="49"/>
        <v>600</v>
      </c>
      <c r="U44" s="115">
        <f t="shared" si="50"/>
        <v>2400</v>
      </c>
      <c r="V44" s="131">
        <f t="shared" si="51"/>
        <v>690</v>
      </c>
      <c r="W44" s="132">
        <f t="shared" si="51"/>
        <v>690</v>
      </c>
      <c r="X44" s="132">
        <f t="shared" si="51"/>
        <v>690</v>
      </c>
      <c r="Y44" s="132">
        <f t="shared" si="51"/>
        <v>690</v>
      </c>
      <c r="Z44" s="115">
        <f t="shared" si="52"/>
        <v>2760</v>
      </c>
      <c r="AA44" s="131">
        <f t="shared" si="53"/>
        <v>793.49999999999989</v>
      </c>
      <c r="AB44" s="132">
        <f t="shared" si="53"/>
        <v>793.49999999999989</v>
      </c>
      <c r="AC44" s="132">
        <f t="shared" si="53"/>
        <v>793.49999999999989</v>
      </c>
      <c r="AD44" s="132">
        <f t="shared" si="53"/>
        <v>793.49999999999989</v>
      </c>
      <c r="AE44" s="115">
        <f t="shared" si="54"/>
        <v>3173.9999999999995</v>
      </c>
      <c r="AF44" s="131">
        <f t="shared" si="55"/>
        <v>912.52499999999975</v>
      </c>
      <c r="AG44" s="132">
        <f t="shared" si="55"/>
        <v>912.52499999999975</v>
      </c>
      <c r="AH44" s="132">
        <f t="shared" si="55"/>
        <v>912.52499999999975</v>
      </c>
      <c r="AI44" s="133">
        <f t="shared" si="55"/>
        <v>912.52499999999975</v>
      </c>
      <c r="AJ44" s="115">
        <f t="shared" si="56"/>
        <v>3650.099999999999</v>
      </c>
      <c r="AK44" s="131">
        <f t="shared" si="57"/>
        <v>1049.4037499999997</v>
      </c>
      <c r="AL44" s="132">
        <f t="shared" si="57"/>
        <v>1049.4037499999997</v>
      </c>
      <c r="AM44" s="132">
        <f t="shared" si="57"/>
        <v>1049.4037499999997</v>
      </c>
      <c r="AN44" s="132">
        <f t="shared" si="57"/>
        <v>1049.4037499999997</v>
      </c>
      <c r="AO44" s="115">
        <f t="shared" si="58"/>
        <v>4197.6149999999989</v>
      </c>
    </row>
    <row r="45" spans="2:41">
      <c r="B45" s="245" t="s">
        <v>116</v>
      </c>
      <c r="C45" s="5">
        <f>'Cost Assumptions'!D55*'CostRev comparison'!$D$5</f>
        <v>100</v>
      </c>
      <c r="E45" s="131">
        <f t="shared" si="42"/>
        <v>100</v>
      </c>
      <c r="F45" s="132">
        <f t="shared" si="42"/>
        <v>100</v>
      </c>
      <c r="G45" s="132">
        <f t="shared" si="42"/>
        <v>100</v>
      </c>
      <c r="H45" s="132">
        <f t="shared" si="43"/>
        <v>300</v>
      </c>
      <c r="I45" s="132">
        <f t="shared" si="44"/>
        <v>100</v>
      </c>
      <c r="J45" s="132">
        <f t="shared" si="44"/>
        <v>100</v>
      </c>
      <c r="K45" s="132">
        <f t="shared" si="44"/>
        <v>100</v>
      </c>
      <c r="L45" s="132">
        <f t="shared" si="45"/>
        <v>300</v>
      </c>
      <c r="M45" s="132">
        <f t="shared" si="46"/>
        <v>100</v>
      </c>
      <c r="N45" s="132">
        <f t="shared" si="46"/>
        <v>100</v>
      </c>
      <c r="O45" s="132">
        <f t="shared" si="46"/>
        <v>100</v>
      </c>
      <c r="P45" s="132">
        <f t="shared" si="47"/>
        <v>300</v>
      </c>
      <c r="Q45" s="132">
        <f t="shared" si="48"/>
        <v>100</v>
      </c>
      <c r="R45" s="132">
        <f t="shared" si="48"/>
        <v>100</v>
      </c>
      <c r="S45" s="132">
        <f t="shared" si="48"/>
        <v>100</v>
      </c>
      <c r="T45" s="132">
        <f t="shared" si="49"/>
        <v>300</v>
      </c>
      <c r="U45" s="115">
        <f t="shared" si="50"/>
        <v>1200</v>
      </c>
      <c r="V45" s="131">
        <f t="shared" si="51"/>
        <v>345</v>
      </c>
      <c r="W45" s="132">
        <f t="shared" si="51"/>
        <v>345</v>
      </c>
      <c r="X45" s="132">
        <f t="shared" si="51"/>
        <v>345</v>
      </c>
      <c r="Y45" s="132">
        <f t="shared" si="51"/>
        <v>345</v>
      </c>
      <c r="Z45" s="115">
        <f t="shared" si="52"/>
        <v>1380</v>
      </c>
      <c r="AA45" s="131">
        <f t="shared" si="53"/>
        <v>396.74999999999994</v>
      </c>
      <c r="AB45" s="132">
        <f t="shared" si="53"/>
        <v>396.74999999999994</v>
      </c>
      <c r="AC45" s="132">
        <f t="shared" si="53"/>
        <v>396.74999999999994</v>
      </c>
      <c r="AD45" s="132">
        <f t="shared" si="53"/>
        <v>396.74999999999994</v>
      </c>
      <c r="AE45" s="115">
        <f t="shared" si="54"/>
        <v>1586.9999999999998</v>
      </c>
      <c r="AF45" s="131">
        <f t="shared" si="55"/>
        <v>456.26249999999987</v>
      </c>
      <c r="AG45" s="132">
        <f t="shared" si="55"/>
        <v>456.26249999999987</v>
      </c>
      <c r="AH45" s="132">
        <f t="shared" si="55"/>
        <v>456.26249999999987</v>
      </c>
      <c r="AI45" s="133">
        <f t="shared" si="55"/>
        <v>456.26249999999987</v>
      </c>
      <c r="AJ45" s="115">
        <f t="shared" si="56"/>
        <v>1825.0499999999995</v>
      </c>
      <c r="AK45" s="131">
        <f t="shared" si="57"/>
        <v>524.70187499999986</v>
      </c>
      <c r="AL45" s="132">
        <f t="shared" si="57"/>
        <v>524.70187499999986</v>
      </c>
      <c r="AM45" s="132">
        <f t="shared" si="57"/>
        <v>524.70187499999986</v>
      </c>
      <c r="AN45" s="132">
        <f t="shared" si="57"/>
        <v>524.70187499999986</v>
      </c>
      <c r="AO45" s="115">
        <f t="shared" si="58"/>
        <v>2098.8074999999994</v>
      </c>
    </row>
    <row r="46" spans="2:41">
      <c r="B46" s="245" t="s">
        <v>118</v>
      </c>
      <c r="C46" s="5">
        <f>'Cost Assumptions'!D56*'CostRev comparison'!$D$5</f>
        <v>250</v>
      </c>
      <c r="E46" s="131">
        <f t="shared" si="42"/>
        <v>250</v>
      </c>
      <c r="F46" s="132">
        <f t="shared" si="42"/>
        <v>250</v>
      </c>
      <c r="G46" s="132">
        <f t="shared" si="42"/>
        <v>250</v>
      </c>
      <c r="H46" s="132">
        <f t="shared" si="43"/>
        <v>750</v>
      </c>
      <c r="I46" s="132">
        <f t="shared" si="44"/>
        <v>250</v>
      </c>
      <c r="J46" s="132">
        <f t="shared" si="44"/>
        <v>250</v>
      </c>
      <c r="K46" s="132">
        <f t="shared" si="44"/>
        <v>250</v>
      </c>
      <c r="L46" s="132">
        <f t="shared" si="45"/>
        <v>750</v>
      </c>
      <c r="M46" s="132">
        <f t="shared" si="46"/>
        <v>250</v>
      </c>
      <c r="N46" s="132">
        <f t="shared" si="46"/>
        <v>250</v>
      </c>
      <c r="O46" s="132">
        <f t="shared" si="46"/>
        <v>250</v>
      </c>
      <c r="P46" s="132">
        <f t="shared" si="47"/>
        <v>750</v>
      </c>
      <c r="Q46" s="132">
        <f t="shared" si="48"/>
        <v>250</v>
      </c>
      <c r="R46" s="132">
        <f t="shared" si="48"/>
        <v>250</v>
      </c>
      <c r="S46" s="132">
        <f t="shared" si="48"/>
        <v>250</v>
      </c>
      <c r="T46" s="132">
        <f t="shared" si="49"/>
        <v>750</v>
      </c>
      <c r="U46" s="115">
        <f t="shared" si="50"/>
        <v>3000</v>
      </c>
      <c r="V46" s="131">
        <f t="shared" si="51"/>
        <v>862.49999999999989</v>
      </c>
      <c r="W46" s="132">
        <f t="shared" si="51"/>
        <v>862.49999999999989</v>
      </c>
      <c r="X46" s="132">
        <f t="shared" si="51"/>
        <v>862.49999999999989</v>
      </c>
      <c r="Y46" s="132">
        <f t="shared" si="51"/>
        <v>862.49999999999989</v>
      </c>
      <c r="Z46" s="115">
        <f t="shared" si="52"/>
        <v>3449.9999999999995</v>
      </c>
      <c r="AA46" s="131">
        <f t="shared" si="53"/>
        <v>991.87499999999989</v>
      </c>
      <c r="AB46" s="132">
        <f t="shared" si="53"/>
        <v>991.87499999999989</v>
      </c>
      <c r="AC46" s="132">
        <f t="shared" si="53"/>
        <v>991.87499999999989</v>
      </c>
      <c r="AD46" s="132">
        <f t="shared" si="53"/>
        <v>991.87499999999989</v>
      </c>
      <c r="AE46" s="115">
        <f t="shared" si="54"/>
        <v>3967.4999999999995</v>
      </c>
      <c r="AF46" s="131">
        <f t="shared" si="55"/>
        <v>1140.6562499999995</v>
      </c>
      <c r="AG46" s="132">
        <f t="shared" si="55"/>
        <v>1140.6562499999995</v>
      </c>
      <c r="AH46" s="132">
        <f t="shared" si="55"/>
        <v>1140.6562499999995</v>
      </c>
      <c r="AI46" s="133">
        <f t="shared" si="55"/>
        <v>1140.6562499999995</v>
      </c>
      <c r="AJ46" s="115">
        <f t="shared" si="56"/>
        <v>4562.6249999999982</v>
      </c>
      <c r="AK46" s="131">
        <f t="shared" si="57"/>
        <v>1311.7546874999996</v>
      </c>
      <c r="AL46" s="132">
        <f t="shared" si="57"/>
        <v>1311.7546874999996</v>
      </c>
      <c r="AM46" s="132">
        <f t="shared" si="57"/>
        <v>1311.7546874999996</v>
      </c>
      <c r="AN46" s="132">
        <f t="shared" si="57"/>
        <v>1311.7546874999996</v>
      </c>
      <c r="AO46" s="115">
        <f t="shared" si="58"/>
        <v>5247.0187499999984</v>
      </c>
    </row>
    <row r="47" spans="2:41">
      <c r="B47" s="245" t="s">
        <v>120</v>
      </c>
      <c r="C47" s="5">
        <f>'Cost Assumptions'!D57*'CostRev comparison'!$D$5</f>
        <v>0</v>
      </c>
      <c r="E47" s="131">
        <f t="shared" si="42"/>
        <v>0</v>
      </c>
      <c r="F47" s="132">
        <f t="shared" si="42"/>
        <v>0</v>
      </c>
      <c r="G47" s="132">
        <f t="shared" si="42"/>
        <v>0</v>
      </c>
      <c r="H47" s="132">
        <f t="shared" si="43"/>
        <v>0</v>
      </c>
      <c r="I47" s="132">
        <f t="shared" si="44"/>
        <v>0</v>
      </c>
      <c r="J47" s="132">
        <f t="shared" si="44"/>
        <v>0</v>
      </c>
      <c r="K47" s="132">
        <f t="shared" si="44"/>
        <v>0</v>
      </c>
      <c r="L47" s="132">
        <f t="shared" si="45"/>
        <v>0</v>
      </c>
      <c r="M47" s="132">
        <f t="shared" si="46"/>
        <v>0</v>
      </c>
      <c r="N47" s="132">
        <f t="shared" si="46"/>
        <v>0</v>
      </c>
      <c r="O47" s="132">
        <f t="shared" si="46"/>
        <v>0</v>
      </c>
      <c r="P47" s="132">
        <f t="shared" si="47"/>
        <v>0</v>
      </c>
      <c r="Q47" s="132">
        <f t="shared" si="48"/>
        <v>0</v>
      </c>
      <c r="R47" s="132">
        <f t="shared" si="48"/>
        <v>0</v>
      </c>
      <c r="S47" s="132">
        <f t="shared" si="48"/>
        <v>0</v>
      </c>
      <c r="T47" s="132">
        <f t="shared" si="49"/>
        <v>0</v>
      </c>
      <c r="U47" s="115">
        <f t="shared" si="50"/>
        <v>0</v>
      </c>
      <c r="V47" s="131">
        <f t="shared" si="51"/>
        <v>0</v>
      </c>
      <c r="W47" s="132">
        <f t="shared" si="51"/>
        <v>0</v>
      </c>
      <c r="X47" s="132">
        <f t="shared" si="51"/>
        <v>0</v>
      </c>
      <c r="Y47" s="132">
        <f t="shared" si="51"/>
        <v>0</v>
      </c>
      <c r="Z47" s="115">
        <f t="shared" si="52"/>
        <v>0</v>
      </c>
      <c r="AA47" s="131">
        <f t="shared" si="53"/>
        <v>0</v>
      </c>
      <c r="AB47" s="132">
        <f t="shared" si="53"/>
        <v>0</v>
      </c>
      <c r="AC47" s="132">
        <f t="shared" si="53"/>
        <v>0</v>
      </c>
      <c r="AD47" s="132">
        <f t="shared" si="53"/>
        <v>0</v>
      </c>
      <c r="AE47" s="115">
        <f t="shared" si="54"/>
        <v>0</v>
      </c>
      <c r="AF47" s="131">
        <f t="shared" si="55"/>
        <v>0</v>
      </c>
      <c r="AG47" s="132">
        <f t="shared" si="55"/>
        <v>0</v>
      </c>
      <c r="AH47" s="132">
        <f t="shared" si="55"/>
        <v>0</v>
      </c>
      <c r="AI47" s="133">
        <f t="shared" si="55"/>
        <v>0</v>
      </c>
      <c r="AJ47" s="115">
        <f t="shared" si="56"/>
        <v>0</v>
      </c>
      <c r="AK47" s="131">
        <f t="shared" si="57"/>
        <v>0</v>
      </c>
      <c r="AL47" s="132">
        <f t="shared" si="57"/>
        <v>0</v>
      </c>
      <c r="AM47" s="132">
        <f t="shared" si="57"/>
        <v>0</v>
      </c>
      <c r="AN47" s="132">
        <f t="shared" si="57"/>
        <v>0</v>
      </c>
      <c r="AO47" s="115">
        <f t="shared" si="58"/>
        <v>0</v>
      </c>
    </row>
    <row r="48" spans="2:41">
      <c r="B48" s="245" t="s">
        <v>122</v>
      </c>
      <c r="C48" s="5">
        <f>'Cost Assumptions'!D58*'CostRev comparison'!$D$5</f>
        <v>1000</v>
      </c>
      <c r="E48" s="131">
        <f t="shared" si="42"/>
        <v>1000</v>
      </c>
      <c r="F48" s="132">
        <f t="shared" si="42"/>
        <v>1000</v>
      </c>
      <c r="G48" s="132">
        <f t="shared" si="42"/>
        <v>1000</v>
      </c>
      <c r="H48" s="132">
        <f t="shared" si="43"/>
        <v>3000</v>
      </c>
      <c r="I48" s="132">
        <f t="shared" si="44"/>
        <v>1000</v>
      </c>
      <c r="J48" s="132">
        <f t="shared" si="44"/>
        <v>1000</v>
      </c>
      <c r="K48" s="132">
        <f t="shared" si="44"/>
        <v>1000</v>
      </c>
      <c r="L48" s="132">
        <f t="shared" si="45"/>
        <v>3000</v>
      </c>
      <c r="M48" s="132">
        <f t="shared" si="46"/>
        <v>1000</v>
      </c>
      <c r="N48" s="132">
        <f t="shared" si="46"/>
        <v>1000</v>
      </c>
      <c r="O48" s="132">
        <f t="shared" si="46"/>
        <v>1000</v>
      </c>
      <c r="P48" s="132">
        <f t="shared" si="47"/>
        <v>3000</v>
      </c>
      <c r="Q48" s="132">
        <f t="shared" si="48"/>
        <v>1000</v>
      </c>
      <c r="R48" s="132">
        <f t="shared" si="48"/>
        <v>1000</v>
      </c>
      <c r="S48" s="132">
        <f t="shared" si="48"/>
        <v>1000</v>
      </c>
      <c r="T48" s="132">
        <f t="shared" si="49"/>
        <v>3000</v>
      </c>
      <c r="U48" s="115">
        <f t="shared" si="50"/>
        <v>12000</v>
      </c>
      <c r="V48" s="131">
        <f t="shared" si="51"/>
        <v>3449.9999999999995</v>
      </c>
      <c r="W48" s="132">
        <f t="shared" si="51"/>
        <v>3449.9999999999995</v>
      </c>
      <c r="X48" s="132">
        <f t="shared" si="51"/>
        <v>3449.9999999999995</v>
      </c>
      <c r="Y48" s="132">
        <f t="shared" si="51"/>
        <v>3449.9999999999995</v>
      </c>
      <c r="Z48" s="115">
        <f t="shared" si="52"/>
        <v>13799.999999999998</v>
      </c>
      <c r="AA48" s="131">
        <f t="shared" si="53"/>
        <v>3967.4999999999995</v>
      </c>
      <c r="AB48" s="132">
        <f t="shared" si="53"/>
        <v>3967.4999999999995</v>
      </c>
      <c r="AC48" s="132">
        <f t="shared" si="53"/>
        <v>3967.4999999999995</v>
      </c>
      <c r="AD48" s="132">
        <f t="shared" si="53"/>
        <v>3967.4999999999995</v>
      </c>
      <c r="AE48" s="115">
        <f t="shared" si="54"/>
        <v>15869.999999999998</v>
      </c>
      <c r="AF48" s="131">
        <f t="shared" si="55"/>
        <v>4562.6249999999982</v>
      </c>
      <c r="AG48" s="132">
        <f t="shared" si="55"/>
        <v>4562.6249999999982</v>
      </c>
      <c r="AH48" s="132">
        <f t="shared" si="55"/>
        <v>4562.6249999999982</v>
      </c>
      <c r="AI48" s="133">
        <f t="shared" si="55"/>
        <v>4562.6249999999982</v>
      </c>
      <c r="AJ48" s="115">
        <f t="shared" si="56"/>
        <v>18250.499999999993</v>
      </c>
      <c r="AK48" s="131">
        <f t="shared" si="57"/>
        <v>5247.0187499999984</v>
      </c>
      <c r="AL48" s="132">
        <f t="shared" si="57"/>
        <v>5247.0187499999984</v>
      </c>
      <c r="AM48" s="132">
        <f t="shared" si="57"/>
        <v>5247.0187499999984</v>
      </c>
      <c r="AN48" s="132">
        <f t="shared" si="57"/>
        <v>5247.0187499999984</v>
      </c>
      <c r="AO48" s="115">
        <f t="shared" si="58"/>
        <v>20988.074999999993</v>
      </c>
    </row>
    <row r="49" spans="2:41" ht="17" thickBot="1">
      <c r="B49" s="245" t="s">
        <v>197</v>
      </c>
      <c r="C49" s="5">
        <f>'Cost Assumptions'!D59*'CostRev comparison'!$D$5</f>
        <v>337950</v>
      </c>
      <c r="E49" s="131"/>
      <c r="F49" s="132">
        <f>$C49/2-(13500*$C$2)</f>
        <v>155475</v>
      </c>
      <c r="G49" s="132"/>
      <c r="H49" s="132">
        <f>$C49/2</f>
        <v>168975</v>
      </c>
      <c r="I49" s="132"/>
      <c r="J49" s="132"/>
      <c r="K49" s="132">
        <f>$C49/2-(13500*$C$2)</f>
        <v>155475</v>
      </c>
      <c r="L49" s="132">
        <f>$C49/2</f>
        <v>168975</v>
      </c>
      <c r="M49" s="132"/>
      <c r="N49" s="132"/>
      <c r="O49" s="132"/>
      <c r="P49" s="132"/>
      <c r="Q49" s="132"/>
      <c r="R49" s="132"/>
      <c r="S49" s="132"/>
      <c r="T49" s="132"/>
      <c r="U49" s="115">
        <f t="shared" si="50"/>
        <v>310950</v>
      </c>
      <c r="V49" s="131">
        <f>$C49/2*(1+$W$2)</f>
        <v>194321.24999999997</v>
      </c>
      <c r="W49" s="132">
        <f>$C49/2*(1+$W$2)</f>
        <v>194321.24999999997</v>
      </c>
      <c r="X49" s="132"/>
      <c r="Y49" s="132"/>
      <c r="Z49" s="115">
        <f t="shared" si="52"/>
        <v>388642.49999999994</v>
      </c>
      <c r="AA49" s="131">
        <f>$C49/2*((1+$W$2)*(1+$AB$2))</f>
        <v>223469.43749999997</v>
      </c>
      <c r="AB49" s="132">
        <f>$C49/2*((1+$W$2)*(1+$AB$2))</f>
        <v>223469.43749999997</v>
      </c>
      <c r="AC49" s="132"/>
      <c r="AD49" s="132"/>
      <c r="AE49" s="115">
        <f t="shared" si="54"/>
        <v>446938.87499999994</v>
      </c>
      <c r="AF49" s="131">
        <f>$C49/2*(((1+$W$2)*(1+$AB$2)*(1+$AG$2)))</f>
        <v>256989.85312499991</v>
      </c>
      <c r="AG49" s="132">
        <f>$C49/2*(((1+$W$2)*(1+$AB$2)*(1+$AG$2)))</f>
        <v>256989.85312499991</v>
      </c>
      <c r="AH49" s="132"/>
      <c r="AI49" s="133"/>
      <c r="AJ49" s="115">
        <f t="shared" si="56"/>
        <v>513979.70624999981</v>
      </c>
      <c r="AK49" s="131">
        <f>$C49/2*((1+$W$2)*(1+$AB$2)*(1+$AG$2)*(1+$AL$2))</f>
        <v>295538.3310937499</v>
      </c>
      <c r="AL49" s="132">
        <f>$C49/2*((1+$W$2)*(1+$AB$2)*(1+$AG$2)*(1+$AL$2))</f>
        <v>295538.3310937499</v>
      </c>
      <c r="AM49" s="132"/>
      <c r="AN49" s="132"/>
      <c r="AO49" s="115">
        <f t="shared" si="58"/>
        <v>591076.66218749981</v>
      </c>
    </row>
    <row r="50" spans="2:41">
      <c r="B50" s="245"/>
      <c r="E50" s="134"/>
      <c r="F50" s="135"/>
      <c r="G50" s="135"/>
      <c r="H50" s="135">
        <f>SUM(H43:H49)</f>
        <v>178625</v>
      </c>
      <c r="I50" s="135"/>
      <c r="J50" s="135"/>
      <c r="K50" s="135"/>
      <c r="L50" s="135">
        <f t="shared" ref="L50:AO50" si="59">SUM(L43:L49)</f>
        <v>178625</v>
      </c>
      <c r="M50" s="135"/>
      <c r="N50" s="135"/>
      <c r="O50" s="135"/>
      <c r="P50" s="135">
        <f t="shared" si="59"/>
        <v>9650</v>
      </c>
      <c r="Q50" s="135"/>
      <c r="R50" s="135"/>
      <c r="S50" s="135"/>
      <c r="T50" s="135">
        <f t="shared" si="59"/>
        <v>9650</v>
      </c>
      <c r="U50" s="250">
        <f>SUM(U43:U49)</f>
        <v>349550</v>
      </c>
      <c r="V50" s="134">
        <f t="shared" si="59"/>
        <v>205418.74999999997</v>
      </c>
      <c r="W50" s="135">
        <f t="shared" si="59"/>
        <v>205418.74999999997</v>
      </c>
      <c r="X50" s="135">
        <f t="shared" si="59"/>
        <v>11097.5</v>
      </c>
      <c r="Y50" s="135">
        <f t="shared" si="59"/>
        <v>11097.5</v>
      </c>
      <c r="Z50" s="250">
        <f t="shared" si="59"/>
        <v>433032.49999999994</v>
      </c>
      <c r="AA50" s="134">
        <f t="shared" si="59"/>
        <v>236231.56249999997</v>
      </c>
      <c r="AB50" s="135">
        <f t="shared" si="59"/>
        <v>236231.56249999997</v>
      </c>
      <c r="AC50" s="135">
        <f t="shared" si="59"/>
        <v>12762.124999999998</v>
      </c>
      <c r="AD50" s="135">
        <f t="shared" si="59"/>
        <v>12762.124999999998</v>
      </c>
      <c r="AE50" s="250">
        <f t="shared" si="59"/>
        <v>497987.37499999994</v>
      </c>
      <c r="AF50" s="134">
        <f t="shared" si="59"/>
        <v>271666.29687499988</v>
      </c>
      <c r="AG50" s="135">
        <f t="shared" si="59"/>
        <v>271666.29687499988</v>
      </c>
      <c r="AH50" s="135">
        <f t="shared" si="59"/>
        <v>14676.443749999997</v>
      </c>
      <c r="AI50" s="136">
        <f t="shared" si="59"/>
        <v>14676.443749999997</v>
      </c>
      <c r="AJ50" s="250">
        <f t="shared" si="59"/>
        <v>572685.48124999984</v>
      </c>
      <c r="AK50" s="134">
        <f t="shared" si="59"/>
        <v>312416.24140624987</v>
      </c>
      <c r="AL50" s="135">
        <f t="shared" si="59"/>
        <v>312416.24140624987</v>
      </c>
      <c r="AM50" s="135">
        <f t="shared" si="59"/>
        <v>16877.910312499993</v>
      </c>
      <c r="AN50" s="135">
        <f t="shared" si="59"/>
        <v>16877.910312499993</v>
      </c>
      <c r="AO50" s="250">
        <f t="shared" si="59"/>
        <v>658588.3034374998</v>
      </c>
    </row>
    <row r="51" spans="2:41">
      <c r="B51" s="249" t="s">
        <v>136</v>
      </c>
      <c r="E51" s="131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15"/>
      <c r="V51" s="131"/>
      <c r="W51" s="132"/>
      <c r="X51" s="132"/>
      <c r="Y51" s="132"/>
      <c r="Z51" s="115"/>
      <c r="AA51" s="131"/>
      <c r="AB51" s="132"/>
      <c r="AC51" s="132"/>
      <c r="AD51" s="132"/>
      <c r="AE51" s="115"/>
      <c r="AF51" s="131"/>
      <c r="AG51" s="132"/>
      <c r="AH51" s="132"/>
      <c r="AI51" s="133"/>
      <c r="AJ51" s="115"/>
      <c r="AK51" s="131"/>
      <c r="AL51" s="132"/>
      <c r="AM51" s="132"/>
      <c r="AN51" s="132"/>
      <c r="AO51" s="115"/>
    </row>
    <row r="52" spans="2:41">
      <c r="B52" s="245" t="s">
        <v>137</v>
      </c>
      <c r="C52" s="5">
        <f>'Cost Assumptions'!D62*'CostRev comparison'!$D$5</f>
        <v>4000</v>
      </c>
      <c r="E52" s="131">
        <f>$C52-$C52+800</f>
        <v>800</v>
      </c>
      <c r="F52" s="131">
        <f>$C52-$C52+800</f>
        <v>800</v>
      </c>
      <c r="G52" s="131">
        <f>$C52-$C52+800</f>
        <v>800</v>
      </c>
      <c r="H52" s="131">
        <f>$C52*3</f>
        <v>12000</v>
      </c>
      <c r="I52" s="131">
        <f>$C52-$C52+1600</f>
        <v>1600</v>
      </c>
      <c r="J52" s="131">
        <f>$C52-$C52+3200</f>
        <v>3200</v>
      </c>
      <c r="K52" s="131">
        <f>$C52-$C52+3200</f>
        <v>3200</v>
      </c>
      <c r="L52" s="132">
        <f>$C52*3</f>
        <v>12000</v>
      </c>
      <c r="M52" s="132">
        <f t="shared" ref="M52:S54" si="60">$C52</f>
        <v>4000</v>
      </c>
      <c r="N52" s="132">
        <f t="shared" si="60"/>
        <v>4000</v>
      </c>
      <c r="O52" s="132">
        <f t="shared" si="60"/>
        <v>4000</v>
      </c>
      <c r="P52" s="132">
        <f>$C52*3</f>
        <v>12000</v>
      </c>
      <c r="Q52" s="132">
        <f t="shared" si="60"/>
        <v>4000</v>
      </c>
      <c r="R52" s="132">
        <f t="shared" si="60"/>
        <v>4000</v>
      </c>
      <c r="S52" s="132">
        <f t="shared" si="60"/>
        <v>4000</v>
      </c>
      <c r="T52" s="132">
        <f>$C52*3</f>
        <v>12000</v>
      </c>
      <c r="U52" s="115">
        <f>SUM(E52:G52)+SUM(I52:K52)+SUM(M52:O52)+SUM(Q52:S52)</f>
        <v>34400</v>
      </c>
      <c r="V52" s="131">
        <f t="shared" ref="V52:Y54" si="61">$C52*3*(1+$W$2)</f>
        <v>13799.999999999998</v>
      </c>
      <c r="W52" s="132">
        <f t="shared" si="61"/>
        <v>13799.999999999998</v>
      </c>
      <c r="X52" s="132">
        <f t="shared" si="61"/>
        <v>13799.999999999998</v>
      </c>
      <c r="Y52" s="132">
        <f t="shared" si="61"/>
        <v>13799.999999999998</v>
      </c>
      <c r="Z52" s="115">
        <f>SUM(V52:Y52)</f>
        <v>55199.999999999993</v>
      </c>
      <c r="AA52" s="131">
        <f t="shared" ref="AA52:AD54" si="62">$C52*3*((1+$W$2)*(1+$AB$2))</f>
        <v>15869.999999999998</v>
      </c>
      <c r="AB52" s="132">
        <f t="shared" si="62"/>
        <v>15869.999999999998</v>
      </c>
      <c r="AC52" s="132">
        <f t="shared" si="62"/>
        <v>15869.999999999998</v>
      </c>
      <c r="AD52" s="132">
        <f t="shared" si="62"/>
        <v>15869.999999999998</v>
      </c>
      <c r="AE52" s="115">
        <f>SUM(AA52:AD52)</f>
        <v>63479.999999999993</v>
      </c>
      <c r="AF52" s="131">
        <f t="shared" ref="AF52:AI54" si="63">$C52*3*(((1+$W$2)*(1+$AB$2)*(1+$AG$2)))</f>
        <v>18250.499999999993</v>
      </c>
      <c r="AG52" s="132">
        <f t="shared" si="63"/>
        <v>18250.499999999993</v>
      </c>
      <c r="AH52" s="132">
        <f t="shared" si="63"/>
        <v>18250.499999999993</v>
      </c>
      <c r="AI52" s="133">
        <f t="shared" si="63"/>
        <v>18250.499999999993</v>
      </c>
      <c r="AJ52" s="115">
        <f>SUM(AF52:AI52)</f>
        <v>73001.999999999971</v>
      </c>
      <c r="AK52" s="131">
        <f t="shared" ref="AK52:AN54" si="64">$C52*3*((1+$W$2)*(1+$AB$2)*(1+$AG$2)*(1+$AL$2))</f>
        <v>20988.074999999993</v>
      </c>
      <c r="AL52" s="132">
        <f t="shared" si="64"/>
        <v>20988.074999999993</v>
      </c>
      <c r="AM52" s="132">
        <f t="shared" si="64"/>
        <v>20988.074999999993</v>
      </c>
      <c r="AN52" s="132">
        <f t="shared" si="64"/>
        <v>20988.074999999993</v>
      </c>
      <c r="AO52" s="115">
        <f>SUM(AK52:AN52)</f>
        <v>83952.299999999974</v>
      </c>
    </row>
    <row r="53" spans="2:41">
      <c r="B53" s="245" t="s">
        <v>198</v>
      </c>
      <c r="C53" s="5">
        <f>'Cost Assumptions'!D63*'CostRev comparison'!$D$5</f>
        <v>500</v>
      </c>
      <c r="E53" s="131">
        <f>$C53-$C53+100</f>
        <v>100</v>
      </c>
      <c r="F53" s="131">
        <f>$C53-$C53+100</f>
        <v>100</v>
      </c>
      <c r="G53" s="131">
        <f>$C53-$C53+100</f>
        <v>100</v>
      </c>
      <c r="H53" s="131">
        <f>$C53*3</f>
        <v>1500</v>
      </c>
      <c r="I53" s="131">
        <f>$C53-$C53+200</f>
        <v>200</v>
      </c>
      <c r="J53" s="131">
        <f>$C53-$C53+400</f>
        <v>400</v>
      </c>
      <c r="K53" s="131">
        <f>$C53-$C53+400</f>
        <v>400</v>
      </c>
      <c r="L53" s="132">
        <f>$C53*3</f>
        <v>1500</v>
      </c>
      <c r="M53" s="132">
        <f t="shared" si="60"/>
        <v>500</v>
      </c>
      <c r="N53" s="132">
        <f t="shared" si="60"/>
        <v>500</v>
      </c>
      <c r="O53" s="132">
        <f t="shared" si="60"/>
        <v>500</v>
      </c>
      <c r="P53" s="132">
        <f>$C53*3</f>
        <v>1500</v>
      </c>
      <c r="Q53" s="132">
        <f t="shared" si="60"/>
        <v>500</v>
      </c>
      <c r="R53" s="132">
        <f t="shared" si="60"/>
        <v>500</v>
      </c>
      <c r="S53" s="132">
        <f t="shared" si="60"/>
        <v>500</v>
      </c>
      <c r="T53" s="132">
        <f>$C53*3</f>
        <v>1500</v>
      </c>
      <c r="U53" s="115">
        <f>SUM(E53:G53)+SUM(I53:K53)+SUM(M53:O53)+SUM(Q53:S53)</f>
        <v>4300</v>
      </c>
      <c r="V53" s="131">
        <f t="shared" si="61"/>
        <v>1724.9999999999998</v>
      </c>
      <c r="W53" s="132">
        <f t="shared" si="61"/>
        <v>1724.9999999999998</v>
      </c>
      <c r="X53" s="132">
        <f t="shared" si="61"/>
        <v>1724.9999999999998</v>
      </c>
      <c r="Y53" s="132">
        <f t="shared" si="61"/>
        <v>1724.9999999999998</v>
      </c>
      <c r="Z53" s="115">
        <f>SUM(V53:Y53)</f>
        <v>6899.9999999999991</v>
      </c>
      <c r="AA53" s="131">
        <f t="shared" si="62"/>
        <v>1983.7499999999998</v>
      </c>
      <c r="AB53" s="132">
        <f t="shared" si="62"/>
        <v>1983.7499999999998</v>
      </c>
      <c r="AC53" s="132">
        <f t="shared" si="62"/>
        <v>1983.7499999999998</v>
      </c>
      <c r="AD53" s="132">
        <f t="shared" si="62"/>
        <v>1983.7499999999998</v>
      </c>
      <c r="AE53" s="115">
        <f>SUM(AA53:AD53)</f>
        <v>7934.9999999999991</v>
      </c>
      <c r="AF53" s="131">
        <f t="shared" si="63"/>
        <v>2281.3124999999991</v>
      </c>
      <c r="AG53" s="132">
        <f t="shared" si="63"/>
        <v>2281.3124999999991</v>
      </c>
      <c r="AH53" s="132">
        <f t="shared" si="63"/>
        <v>2281.3124999999991</v>
      </c>
      <c r="AI53" s="133">
        <f t="shared" si="63"/>
        <v>2281.3124999999991</v>
      </c>
      <c r="AJ53" s="115">
        <f>SUM(AF53:AI53)</f>
        <v>9125.2499999999964</v>
      </c>
      <c r="AK53" s="131">
        <f t="shared" si="64"/>
        <v>2623.5093749999992</v>
      </c>
      <c r="AL53" s="132">
        <f t="shared" si="64"/>
        <v>2623.5093749999992</v>
      </c>
      <c r="AM53" s="132">
        <f t="shared" si="64"/>
        <v>2623.5093749999992</v>
      </c>
      <c r="AN53" s="132">
        <f t="shared" si="64"/>
        <v>2623.5093749999992</v>
      </c>
      <c r="AO53" s="115">
        <f>SUM(AK53:AN53)</f>
        <v>10494.037499999997</v>
      </c>
    </row>
    <row r="54" spans="2:41" ht="17" thickBot="1">
      <c r="B54" s="245" t="s">
        <v>126</v>
      </c>
      <c r="C54" s="5">
        <f>'Cost Assumptions'!D64*'CostRev comparison'!$D$5</f>
        <v>100</v>
      </c>
      <c r="E54" s="131">
        <f t="shared" ref="E54:K54" si="65">$C54</f>
        <v>100</v>
      </c>
      <c r="F54" s="131">
        <f t="shared" si="65"/>
        <v>100</v>
      </c>
      <c r="G54" s="131">
        <f t="shared" si="65"/>
        <v>100</v>
      </c>
      <c r="H54" s="131">
        <f>$C54*3</f>
        <v>300</v>
      </c>
      <c r="I54" s="131">
        <f t="shared" si="65"/>
        <v>100</v>
      </c>
      <c r="J54" s="131">
        <f t="shared" si="65"/>
        <v>100</v>
      </c>
      <c r="K54" s="131">
        <f t="shared" si="65"/>
        <v>100</v>
      </c>
      <c r="L54" s="132">
        <f>$C54*3</f>
        <v>300</v>
      </c>
      <c r="M54" s="132">
        <f t="shared" si="60"/>
        <v>100</v>
      </c>
      <c r="N54" s="132">
        <f t="shared" si="60"/>
        <v>100</v>
      </c>
      <c r="O54" s="132">
        <f t="shared" si="60"/>
        <v>100</v>
      </c>
      <c r="P54" s="132">
        <f>$C54*3</f>
        <v>300</v>
      </c>
      <c r="Q54" s="132">
        <f t="shared" si="60"/>
        <v>100</v>
      </c>
      <c r="R54" s="132">
        <f t="shared" si="60"/>
        <v>100</v>
      </c>
      <c r="S54" s="132">
        <f t="shared" si="60"/>
        <v>100</v>
      </c>
      <c r="T54" s="132">
        <f>$C54*3</f>
        <v>300</v>
      </c>
      <c r="U54" s="115">
        <f>SUM(E54:G54)+SUM(I54:K54)+SUM(M54:O54)+SUM(Q54:S54)</f>
        <v>1200</v>
      </c>
      <c r="V54" s="131">
        <f t="shared" si="61"/>
        <v>345</v>
      </c>
      <c r="W54" s="132">
        <f t="shared" si="61"/>
        <v>345</v>
      </c>
      <c r="X54" s="132">
        <f t="shared" si="61"/>
        <v>345</v>
      </c>
      <c r="Y54" s="132">
        <f t="shared" si="61"/>
        <v>345</v>
      </c>
      <c r="Z54" s="115">
        <f>SUM(V54:Y54)</f>
        <v>1380</v>
      </c>
      <c r="AA54" s="131">
        <f t="shared" si="62"/>
        <v>396.74999999999994</v>
      </c>
      <c r="AB54" s="132">
        <f t="shared" si="62"/>
        <v>396.74999999999994</v>
      </c>
      <c r="AC54" s="132">
        <f t="shared" si="62"/>
        <v>396.74999999999994</v>
      </c>
      <c r="AD54" s="132">
        <f t="shared" si="62"/>
        <v>396.74999999999994</v>
      </c>
      <c r="AE54" s="115">
        <f>SUM(AA54:AD54)</f>
        <v>1586.9999999999998</v>
      </c>
      <c r="AF54" s="131">
        <f t="shared" si="63"/>
        <v>456.26249999999987</v>
      </c>
      <c r="AG54" s="132">
        <f t="shared" si="63"/>
        <v>456.26249999999987</v>
      </c>
      <c r="AH54" s="132">
        <f t="shared" si="63"/>
        <v>456.26249999999987</v>
      </c>
      <c r="AI54" s="133">
        <f t="shared" si="63"/>
        <v>456.26249999999987</v>
      </c>
      <c r="AJ54" s="115">
        <f>SUM(AF54:AI54)</f>
        <v>1825.0499999999995</v>
      </c>
      <c r="AK54" s="131">
        <f t="shared" si="64"/>
        <v>524.70187499999986</v>
      </c>
      <c r="AL54" s="132">
        <f t="shared" si="64"/>
        <v>524.70187499999986</v>
      </c>
      <c r="AM54" s="132">
        <f t="shared" si="64"/>
        <v>524.70187499999986</v>
      </c>
      <c r="AN54" s="132">
        <f t="shared" si="64"/>
        <v>524.70187499999986</v>
      </c>
      <c r="AO54" s="115">
        <f>SUM(AK54:AN54)</f>
        <v>2098.8074999999994</v>
      </c>
    </row>
    <row r="55" spans="2:41">
      <c r="B55" s="245"/>
      <c r="E55" s="134"/>
      <c r="F55" s="135"/>
      <c r="G55" s="135"/>
      <c r="H55" s="135">
        <f>SUM(H52:H54)</f>
        <v>13800</v>
      </c>
      <c r="I55" s="135"/>
      <c r="J55" s="135"/>
      <c r="K55" s="135"/>
      <c r="L55" s="135">
        <f t="shared" ref="L55:AO55" si="66">SUM(L52:L54)</f>
        <v>13800</v>
      </c>
      <c r="M55" s="135"/>
      <c r="N55" s="135"/>
      <c r="O55" s="135"/>
      <c r="P55" s="135">
        <f t="shared" si="66"/>
        <v>13800</v>
      </c>
      <c r="Q55" s="135"/>
      <c r="R55" s="135"/>
      <c r="S55" s="135"/>
      <c r="T55" s="135">
        <f t="shared" si="66"/>
        <v>13800</v>
      </c>
      <c r="U55" s="250">
        <f>SUM(U52:U54)</f>
        <v>39900</v>
      </c>
      <c r="V55" s="134">
        <f t="shared" si="66"/>
        <v>15869.999999999998</v>
      </c>
      <c r="W55" s="135">
        <f t="shared" si="66"/>
        <v>15869.999999999998</v>
      </c>
      <c r="X55" s="135">
        <f t="shared" si="66"/>
        <v>15869.999999999998</v>
      </c>
      <c r="Y55" s="135">
        <f t="shared" si="66"/>
        <v>15869.999999999998</v>
      </c>
      <c r="Z55" s="250">
        <f t="shared" si="66"/>
        <v>63479.999999999993</v>
      </c>
      <c r="AA55" s="134">
        <f t="shared" si="66"/>
        <v>18250.499999999996</v>
      </c>
      <c r="AB55" s="135">
        <f t="shared" si="66"/>
        <v>18250.499999999996</v>
      </c>
      <c r="AC55" s="135">
        <f t="shared" si="66"/>
        <v>18250.499999999996</v>
      </c>
      <c r="AD55" s="135">
        <f t="shared" si="66"/>
        <v>18250.499999999996</v>
      </c>
      <c r="AE55" s="250">
        <f t="shared" si="66"/>
        <v>73001.999999999985</v>
      </c>
      <c r="AF55" s="134">
        <f t="shared" si="66"/>
        <v>20988.074999999993</v>
      </c>
      <c r="AG55" s="135">
        <f t="shared" si="66"/>
        <v>20988.074999999993</v>
      </c>
      <c r="AH55" s="135">
        <f t="shared" si="66"/>
        <v>20988.074999999993</v>
      </c>
      <c r="AI55" s="136">
        <f t="shared" si="66"/>
        <v>20988.074999999993</v>
      </c>
      <c r="AJ55" s="250">
        <f t="shared" si="66"/>
        <v>83952.299999999974</v>
      </c>
      <c r="AK55" s="134">
        <f t="shared" si="66"/>
        <v>24136.28624999999</v>
      </c>
      <c r="AL55" s="135">
        <f t="shared" si="66"/>
        <v>24136.28624999999</v>
      </c>
      <c r="AM55" s="135">
        <f t="shared" si="66"/>
        <v>24136.28624999999</v>
      </c>
      <c r="AN55" s="135">
        <f t="shared" si="66"/>
        <v>24136.28624999999</v>
      </c>
      <c r="AO55" s="250">
        <f t="shared" si="66"/>
        <v>96545.14499999996</v>
      </c>
    </row>
    <row r="56" spans="2:41">
      <c r="B56" s="249" t="s">
        <v>139</v>
      </c>
      <c r="E56" s="131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15"/>
      <c r="V56" s="131"/>
      <c r="W56" s="132"/>
      <c r="X56" s="132"/>
      <c r="Y56" s="132"/>
      <c r="Z56" s="115"/>
      <c r="AA56" s="131"/>
      <c r="AB56" s="132"/>
      <c r="AC56" s="132"/>
      <c r="AD56" s="132"/>
      <c r="AE56" s="115"/>
      <c r="AF56" s="131"/>
      <c r="AG56" s="132"/>
      <c r="AH56" s="132"/>
      <c r="AI56" s="133"/>
      <c r="AJ56" s="115"/>
      <c r="AK56" s="131"/>
      <c r="AL56" s="132"/>
      <c r="AM56" s="132"/>
      <c r="AN56" s="132"/>
      <c r="AO56" s="115"/>
    </row>
    <row r="57" spans="2:41">
      <c r="B57" s="245" t="s">
        <v>127</v>
      </c>
      <c r="C57" s="5">
        <f>'Cost Assumptions'!D66*'CostRev comparison'!$D$5</f>
        <v>2000</v>
      </c>
      <c r="E57" s="131">
        <f t="shared" ref="E57:G58" si="67">$C57</f>
        <v>2000</v>
      </c>
      <c r="F57" s="132">
        <f t="shared" si="67"/>
        <v>2000</v>
      </c>
      <c r="G57" s="132">
        <f t="shared" si="67"/>
        <v>2000</v>
      </c>
      <c r="H57" s="132">
        <f>$C57*3</f>
        <v>6000</v>
      </c>
      <c r="I57" s="132">
        <f t="shared" ref="I57:K58" si="68">$C57</f>
        <v>2000</v>
      </c>
      <c r="J57" s="132">
        <f t="shared" si="68"/>
        <v>2000</v>
      </c>
      <c r="K57" s="132">
        <f t="shared" si="68"/>
        <v>2000</v>
      </c>
      <c r="L57" s="132">
        <f>$C57*3</f>
        <v>6000</v>
      </c>
      <c r="M57" s="132">
        <f t="shared" ref="M57:O58" si="69">$C57</f>
        <v>2000</v>
      </c>
      <c r="N57" s="132">
        <f t="shared" si="69"/>
        <v>2000</v>
      </c>
      <c r="O57" s="132">
        <f t="shared" si="69"/>
        <v>2000</v>
      </c>
      <c r="P57" s="132">
        <f>$C57*3</f>
        <v>6000</v>
      </c>
      <c r="Q57" s="132">
        <f t="shared" ref="Q57:S58" si="70">$C57</f>
        <v>2000</v>
      </c>
      <c r="R57" s="132">
        <f t="shared" si="70"/>
        <v>2000</v>
      </c>
      <c r="S57" s="132">
        <f t="shared" si="70"/>
        <v>2000</v>
      </c>
      <c r="T57" s="132">
        <f>$C57*3</f>
        <v>6000</v>
      </c>
      <c r="U57" s="115">
        <f>SUM(E57:G57)+SUM(I57:K57)+SUM(M57:O57)+SUM(Q57:S57)</f>
        <v>24000</v>
      </c>
      <c r="V57" s="131">
        <f t="shared" ref="V57:Y58" si="71">$C57*3*(1+$W$2)</f>
        <v>6899.9999999999991</v>
      </c>
      <c r="W57" s="132">
        <f t="shared" si="71"/>
        <v>6899.9999999999991</v>
      </c>
      <c r="X57" s="132">
        <f t="shared" si="71"/>
        <v>6899.9999999999991</v>
      </c>
      <c r="Y57" s="132">
        <f t="shared" si="71"/>
        <v>6899.9999999999991</v>
      </c>
      <c r="Z57" s="115">
        <f>SUM(V57:Y57)</f>
        <v>27599.999999999996</v>
      </c>
      <c r="AA57" s="131">
        <f t="shared" ref="AA57:AD58" si="72">$C57*3*((1+$W$2)*(1+$AB$2))</f>
        <v>7934.9999999999991</v>
      </c>
      <c r="AB57" s="132">
        <f t="shared" si="72"/>
        <v>7934.9999999999991</v>
      </c>
      <c r="AC57" s="132">
        <f t="shared" si="72"/>
        <v>7934.9999999999991</v>
      </c>
      <c r="AD57" s="132">
        <f t="shared" si="72"/>
        <v>7934.9999999999991</v>
      </c>
      <c r="AE57" s="115">
        <f>SUM(AA57:AD57)</f>
        <v>31739.999999999996</v>
      </c>
      <c r="AF57" s="131">
        <f t="shared" ref="AF57:AI58" si="73">$C57*3*(((1+$W$2)*(1+$AB$2)*(1+$AG$2)))</f>
        <v>9125.2499999999964</v>
      </c>
      <c r="AG57" s="132">
        <f t="shared" si="73"/>
        <v>9125.2499999999964</v>
      </c>
      <c r="AH57" s="132">
        <f t="shared" si="73"/>
        <v>9125.2499999999964</v>
      </c>
      <c r="AI57" s="133">
        <f t="shared" si="73"/>
        <v>9125.2499999999964</v>
      </c>
      <c r="AJ57" s="115">
        <f>SUM(AF57:AI57)</f>
        <v>36500.999999999985</v>
      </c>
      <c r="AK57" s="131">
        <f t="shared" ref="AK57:AN58" si="74">$C57*3*((1+$W$2)*(1+$AB$2)*(1+$AG$2)*(1+$AL$2))</f>
        <v>10494.037499999997</v>
      </c>
      <c r="AL57" s="132">
        <f t="shared" si="74"/>
        <v>10494.037499999997</v>
      </c>
      <c r="AM57" s="132">
        <f t="shared" si="74"/>
        <v>10494.037499999997</v>
      </c>
      <c r="AN57" s="132">
        <f t="shared" si="74"/>
        <v>10494.037499999997</v>
      </c>
      <c r="AO57" s="115">
        <f>SUM(AK57:AN57)</f>
        <v>41976.149999999987</v>
      </c>
    </row>
    <row r="58" spans="2:41" ht="17" thickBot="1">
      <c r="B58" s="245" t="s">
        <v>129</v>
      </c>
      <c r="C58" s="5">
        <f>'Cost Assumptions'!D67*'CostRev comparison'!$D$5</f>
        <v>2000</v>
      </c>
      <c r="E58" s="137">
        <f t="shared" si="67"/>
        <v>2000</v>
      </c>
      <c r="F58" s="138">
        <f t="shared" si="67"/>
        <v>2000</v>
      </c>
      <c r="G58" s="138">
        <f t="shared" si="67"/>
        <v>2000</v>
      </c>
      <c r="H58" s="138">
        <f>$C58*3</f>
        <v>6000</v>
      </c>
      <c r="I58" s="138">
        <f t="shared" si="68"/>
        <v>2000</v>
      </c>
      <c r="J58" s="138">
        <f t="shared" si="68"/>
        <v>2000</v>
      </c>
      <c r="K58" s="138">
        <f t="shared" si="68"/>
        <v>2000</v>
      </c>
      <c r="L58" s="138">
        <f>$C58*3</f>
        <v>6000</v>
      </c>
      <c r="M58" s="138">
        <f t="shared" si="69"/>
        <v>2000</v>
      </c>
      <c r="N58" s="138">
        <f t="shared" si="69"/>
        <v>2000</v>
      </c>
      <c r="O58" s="138">
        <f t="shared" si="69"/>
        <v>2000</v>
      </c>
      <c r="P58" s="138">
        <f>$C58*3</f>
        <v>6000</v>
      </c>
      <c r="Q58" s="138">
        <f t="shared" si="70"/>
        <v>2000</v>
      </c>
      <c r="R58" s="138">
        <f t="shared" si="70"/>
        <v>2000</v>
      </c>
      <c r="S58" s="138">
        <f t="shared" si="70"/>
        <v>2000</v>
      </c>
      <c r="T58" s="138">
        <f>$C58*3</f>
        <v>6000</v>
      </c>
      <c r="U58" s="251">
        <f>SUM(E58:G58)+SUM(I58:K58)+SUM(M58:O58)+SUM(Q58:S58)</f>
        <v>24000</v>
      </c>
      <c r="V58" s="137">
        <f t="shared" si="71"/>
        <v>6899.9999999999991</v>
      </c>
      <c r="W58" s="138">
        <f t="shared" si="71"/>
        <v>6899.9999999999991</v>
      </c>
      <c r="X58" s="138">
        <f t="shared" si="71"/>
        <v>6899.9999999999991</v>
      </c>
      <c r="Y58" s="138">
        <f t="shared" si="71"/>
        <v>6899.9999999999991</v>
      </c>
      <c r="Z58" s="115">
        <f>SUM(V58:Y58)</f>
        <v>27599.999999999996</v>
      </c>
      <c r="AA58" s="131">
        <f t="shared" si="72"/>
        <v>7934.9999999999991</v>
      </c>
      <c r="AB58" s="132">
        <f t="shared" si="72"/>
        <v>7934.9999999999991</v>
      </c>
      <c r="AC58" s="132">
        <f t="shared" si="72"/>
        <v>7934.9999999999991</v>
      </c>
      <c r="AD58" s="132">
        <f t="shared" si="72"/>
        <v>7934.9999999999991</v>
      </c>
      <c r="AE58" s="115">
        <f>SUM(AA58:AD58)</f>
        <v>31739.999999999996</v>
      </c>
      <c r="AF58" s="131">
        <f t="shared" si="73"/>
        <v>9125.2499999999964</v>
      </c>
      <c r="AG58" s="132">
        <f t="shared" si="73"/>
        <v>9125.2499999999964</v>
      </c>
      <c r="AH58" s="132">
        <f t="shared" si="73"/>
        <v>9125.2499999999964</v>
      </c>
      <c r="AI58" s="133">
        <f t="shared" si="73"/>
        <v>9125.2499999999964</v>
      </c>
      <c r="AJ58" s="115">
        <f>SUM(AF58:AI58)</f>
        <v>36500.999999999985</v>
      </c>
      <c r="AK58" s="131">
        <f t="shared" si="74"/>
        <v>10494.037499999997</v>
      </c>
      <c r="AL58" s="132">
        <f t="shared" si="74"/>
        <v>10494.037499999997</v>
      </c>
      <c r="AM58" s="132">
        <f t="shared" si="74"/>
        <v>10494.037499999997</v>
      </c>
      <c r="AN58" s="132">
        <f t="shared" si="74"/>
        <v>10494.037499999997</v>
      </c>
      <c r="AO58" s="115">
        <f>SUM(AK58:AN58)</f>
        <v>41976.149999999987</v>
      </c>
    </row>
    <row r="59" spans="2:41">
      <c r="B59" s="245"/>
      <c r="E59" s="134"/>
      <c r="F59" s="135"/>
      <c r="G59" s="135"/>
      <c r="H59" s="135">
        <f>SUM(H57:H58)</f>
        <v>12000</v>
      </c>
      <c r="I59" s="134"/>
      <c r="J59" s="135"/>
      <c r="K59" s="135"/>
      <c r="L59" s="135">
        <f t="shared" ref="L59:AO59" si="75">SUM(L57:L58)</f>
        <v>12000</v>
      </c>
      <c r="M59" s="134"/>
      <c r="N59" s="135"/>
      <c r="O59" s="135"/>
      <c r="P59" s="135">
        <f t="shared" si="75"/>
        <v>12000</v>
      </c>
      <c r="Q59" s="134"/>
      <c r="R59" s="135"/>
      <c r="S59" s="135"/>
      <c r="T59" s="139">
        <f t="shared" si="75"/>
        <v>12000</v>
      </c>
      <c r="U59" s="252">
        <f>SUM(U57:U58)</f>
        <v>48000</v>
      </c>
      <c r="V59" s="135">
        <f t="shared" si="75"/>
        <v>13799.999999999998</v>
      </c>
      <c r="W59" s="135">
        <f t="shared" si="75"/>
        <v>13799.999999999998</v>
      </c>
      <c r="X59" s="135">
        <f t="shared" si="75"/>
        <v>13799.999999999998</v>
      </c>
      <c r="Y59" s="134">
        <f t="shared" si="75"/>
        <v>13799.999999999998</v>
      </c>
      <c r="Z59" s="253">
        <f t="shared" si="75"/>
        <v>55199.999999999993</v>
      </c>
      <c r="AA59" s="134">
        <f t="shared" si="75"/>
        <v>15869.999999999998</v>
      </c>
      <c r="AB59" s="135">
        <f t="shared" si="75"/>
        <v>15869.999999999998</v>
      </c>
      <c r="AC59" s="135">
        <f t="shared" si="75"/>
        <v>15869.999999999998</v>
      </c>
      <c r="AD59" s="135">
        <f t="shared" si="75"/>
        <v>15869.999999999998</v>
      </c>
      <c r="AE59" s="253">
        <f t="shared" si="75"/>
        <v>63479.999999999993</v>
      </c>
      <c r="AF59" s="134">
        <f t="shared" si="75"/>
        <v>18250.499999999993</v>
      </c>
      <c r="AG59" s="135">
        <f t="shared" si="75"/>
        <v>18250.499999999993</v>
      </c>
      <c r="AH59" s="135">
        <f t="shared" si="75"/>
        <v>18250.499999999993</v>
      </c>
      <c r="AI59" s="135">
        <f t="shared" si="75"/>
        <v>18250.499999999993</v>
      </c>
      <c r="AJ59" s="253">
        <f t="shared" si="75"/>
        <v>73001.999999999971</v>
      </c>
      <c r="AK59" s="134">
        <f t="shared" si="75"/>
        <v>20988.074999999993</v>
      </c>
      <c r="AL59" s="135">
        <f t="shared" si="75"/>
        <v>20988.074999999993</v>
      </c>
      <c r="AM59" s="135">
        <f t="shared" si="75"/>
        <v>20988.074999999993</v>
      </c>
      <c r="AN59" s="135">
        <f t="shared" si="75"/>
        <v>20988.074999999993</v>
      </c>
      <c r="AO59" s="253">
        <f t="shared" si="75"/>
        <v>83952.299999999974</v>
      </c>
    </row>
    <row r="60" spans="2:41">
      <c r="B60" s="245"/>
      <c r="E60" s="131"/>
      <c r="F60" s="132"/>
      <c r="G60" s="132"/>
      <c r="H60" s="133"/>
      <c r="I60" s="131"/>
      <c r="J60" s="132"/>
      <c r="K60" s="132"/>
      <c r="L60" s="133"/>
      <c r="M60" s="131"/>
      <c r="N60" s="132"/>
      <c r="O60" s="132"/>
      <c r="P60" s="133"/>
      <c r="Q60" s="131"/>
      <c r="R60" s="132"/>
      <c r="S60" s="132"/>
      <c r="T60" s="140"/>
      <c r="U60" s="110"/>
      <c r="V60" s="132"/>
      <c r="W60" s="132"/>
      <c r="X60" s="133"/>
      <c r="Y60" s="131"/>
      <c r="Z60" s="130"/>
      <c r="AA60" s="131"/>
      <c r="AB60" s="132"/>
      <c r="AC60" s="132"/>
      <c r="AD60" s="133"/>
      <c r="AE60" s="130"/>
      <c r="AF60" s="131"/>
      <c r="AG60" s="132"/>
      <c r="AH60" s="132"/>
      <c r="AI60" s="133"/>
      <c r="AJ60" s="130"/>
      <c r="AK60" s="131"/>
      <c r="AL60" s="132"/>
      <c r="AM60" s="132"/>
      <c r="AN60" s="133"/>
      <c r="AO60" s="130"/>
    </row>
    <row r="61" spans="2:41" ht="17" thickBot="1">
      <c r="B61" s="245" t="s">
        <v>199</v>
      </c>
      <c r="C61" s="245"/>
      <c r="D61" s="245"/>
      <c r="E61" s="254"/>
      <c r="F61" s="255"/>
      <c r="G61" s="255"/>
      <c r="H61" s="255">
        <f>SUM(H26+H34+H41+H50+H55+H59)</f>
        <v>438407</v>
      </c>
      <c r="I61" s="255"/>
      <c r="J61" s="255"/>
      <c r="K61" s="255"/>
      <c r="L61" s="255">
        <f>SUM(L26+L34+L41+L50+L55+L59)</f>
        <v>418407</v>
      </c>
      <c r="M61" s="255"/>
      <c r="N61" s="255"/>
      <c r="O61" s="255"/>
      <c r="P61" s="255">
        <f>SUM(P26+P34+P41+P50+P55+P59)</f>
        <v>249432</v>
      </c>
      <c r="Q61" s="255"/>
      <c r="R61" s="255"/>
      <c r="S61" s="255"/>
      <c r="T61" s="255">
        <f t="shared" ref="T61:AO61" si="76">SUM(T26+T34+T41+T50+T55+T59)</f>
        <v>269432</v>
      </c>
      <c r="U61" s="256">
        <f t="shared" si="76"/>
        <v>1373378</v>
      </c>
      <c r="V61" s="257">
        <f t="shared" si="76"/>
        <v>511068.04999999993</v>
      </c>
      <c r="W61" s="257">
        <f t="shared" si="76"/>
        <v>511068.04999999993</v>
      </c>
      <c r="X61" s="258">
        <f t="shared" si="76"/>
        <v>316746.8</v>
      </c>
      <c r="Y61" s="256">
        <f t="shared" si="76"/>
        <v>316746.8</v>
      </c>
      <c r="Z61" s="259">
        <f t="shared" si="76"/>
        <v>1755629.7</v>
      </c>
      <c r="AA61" s="256">
        <f t="shared" si="76"/>
        <v>587728.25749999995</v>
      </c>
      <c r="AB61" s="257">
        <f t="shared" si="76"/>
        <v>587728.25749999995</v>
      </c>
      <c r="AC61" s="257">
        <f t="shared" si="76"/>
        <v>364258.81999999995</v>
      </c>
      <c r="AD61" s="258">
        <f t="shared" si="76"/>
        <v>364258.81999999995</v>
      </c>
      <c r="AE61" s="259">
        <f t="shared" si="76"/>
        <v>2103974.1549999998</v>
      </c>
      <c r="AF61" s="256">
        <f t="shared" si="76"/>
        <v>675887.49612499971</v>
      </c>
      <c r="AG61" s="257">
        <f t="shared" si="76"/>
        <v>675887.49612499971</v>
      </c>
      <c r="AH61" s="257">
        <f t="shared" si="76"/>
        <v>418897.64299999987</v>
      </c>
      <c r="AI61" s="258">
        <f t="shared" si="76"/>
        <v>418897.64299999987</v>
      </c>
      <c r="AJ61" s="259">
        <f t="shared" si="76"/>
        <v>2589570.278249999</v>
      </c>
      <c r="AK61" s="256">
        <f t="shared" si="76"/>
        <v>777270.62054374965</v>
      </c>
      <c r="AL61" s="257">
        <f t="shared" si="76"/>
        <v>777270.62054374965</v>
      </c>
      <c r="AM61" s="257">
        <f t="shared" si="76"/>
        <v>481732.28944999987</v>
      </c>
      <c r="AN61" s="258">
        <f t="shared" si="76"/>
        <v>481732.28944999987</v>
      </c>
      <c r="AO61" s="259">
        <f t="shared" si="76"/>
        <v>3318005.8199874992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zoomScale="150" zoomScaleNormal="150" zoomScalePageLayoutView="150" workbookViewId="0">
      <selection activeCell="G8" sqref="G8"/>
    </sheetView>
  </sheetViews>
  <sheetFormatPr baseColWidth="10" defaultColWidth="11" defaultRowHeight="13" x14ac:dyDescent="0"/>
  <cols>
    <col min="1" max="1" width="35.6640625" style="230" customWidth="1"/>
    <col min="2" max="4" width="10.83203125" style="230" customWidth="1"/>
    <col min="5" max="5" width="11.6640625" style="315" customWidth="1"/>
    <col min="6" max="6" width="11.5" style="315" customWidth="1"/>
    <col min="7" max="8" width="11.1640625" style="315" bestFit="1" customWidth="1"/>
    <col min="9" max="11" width="11" style="315"/>
    <col min="12" max="16384" width="11" style="230"/>
  </cols>
  <sheetData>
    <row r="1" spans="1:8" ht="16">
      <c r="A1" s="314" t="s">
        <v>33</v>
      </c>
    </row>
    <row r="2" spans="1:8">
      <c r="B2" s="232" t="s">
        <v>234</v>
      </c>
      <c r="C2" s="232" t="s">
        <v>235</v>
      </c>
      <c r="D2" s="232" t="s">
        <v>236</v>
      </c>
      <c r="E2" s="328" t="s">
        <v>237</v>
      </c>
      <c r="F2" s="232" t="s">
        <v>270</v>
      </c>
    </row>
    <row r="3" spans="1:8">
      <c r="A3" s="313" t="s">
        <v>74</v>
      </c>
      <c r="B3" s="287">
        <v>0.15</v>
      </c>
      <c r="C3" s="287">
        <v>0.15</v>
      </c>
      <c r="D3" s="287">
        <v>0.15</v>
      </c>
      <c r="E3" s="329">
        <v>0.15</v>
      </c>
      <c r="F3" s="287">
        <v>0.15</v>
      </c>
    </row>
    <row r="4" spans="1:8">
      <c r="E4" s="330" t="s">
        <v>75</v>
      </c>
      <c r="F4" s="330" t="s">
        <v>76</v>
      </c>
      <c r="G4" s="331"/>
      <c r="H4" s="331"/>
    </row>
    <row r="5" spans="1:8">
      <c r="A5" s="230" t="s">
        <v>238</v>
      </c>
      <c r="D5" s="236">
        <v>4000000</v>
      </c>
      <c r="E5" s="332">
        <v>1000000</v>
      </c>
      <c r="F5" s="332">
        <v>4000000</v>
      </c>
      <c r="G5" s="331"/>
      <c r="H5" s="331"/>
    </row>
    <row r="7" spans="1:8">
      <c r="A7" s="233" t="s">
        <v>77</v>
      </c>
    </row>
    <row r="9" spans="1:8">
      <c r="A9" s="230" t="s">
        <v>78</v>
      </c>
    </row>
    <row r="11" spans="1:8">
      <c r="A11" s="230" t="s">
        <v>79</v>
      </c>
    </row>
    <row r="13" spans="1:8">
      <c r="A13" s="230" t="s">
        <v>80</v>
      </c>
    </row>
    <row r="15" spans="1:8">
      <c r="A15" s="230" t="s">
        <v>81</v>
      </c>
      <c r="H15" s="315" t="s">
        <v>82</v>
      </c>
    </row>
    <row r="16" spans="1:8">
      <c r="H16" s="315" t="s">
        <v>83</v>
      </c>
    </row>
    <row r="17" spans="1:11">
      <c r="A17" s="230" t="s">
        <v>84</v>
      </c>
    </row>
    <row r="19" spans="1:11">
      <c r="A19" s="230" t="s">
        <v>85</v>
      </c>
    </row>
    <row r="20" spans="1:11" ht="31" customHeight="1">
      <c r="B20" s="229" t="s">
        <v>86</v>
      </c>
      <c r="C20" s="232" t="s">
        <v>87</v>
      </c>
      <c r="D20" s="237" t="s">
        <v>233</v>
      </c>
    </row>
    <row r="21" spans="1:11" ht="16" customHeight="1">
      <c r="A21" s="313" t="s">
        <v>88</v>
      </c>
      <c r="B21" s="232"/>
    </row>
    <row r="22" spans="1:11" ht="16" customHeight="1">
      <c r="A22" s="306" t="s">
        <v>89</v>
      </c>
      <c r="B22" s="294"/>
      <c r="C22" s="288"/>
      <c r="D22" s="289">
        <v>2000</v>
      </c>
    </row>
    <row r="23" spans="1:11" ht="16" customHeight="1">
      <c r="A23" s="307" t="s">
        <v>91</v>
      </c>
      <c r="B23" s="295"/>
      <c r="C23" s="290"/>
      <c r="D23" s="291">
        <v>500</v>
      </c>
    </row>
    <row r="24" spans="1:11" ht="16" customHeight="1">
      <c r="A24" s="307" t="s">
        <v>92</v>
      </c>
      <c r="B24" s="295"/>
      <c r="C24" s="290"/>
      <c r="D24" s="291">
        <v>50</v>
      </c>
    </row>
    <row r="25" spans="1:11" ht="16" customHeight="1">
      <c r="A25" s="312" t="s">
        <v>131</v>
      </c>
      <c r="B25" s="296"/>
      <c r="C25" s="292"/>
      <c r="D25" s="293">
        <v>2000</v>
      </c>
    </row>
    <row r="26" spans="1:11" s="235" customFormat="1" ht="16" customHeight="1">
      <c r="A26" s="313" t="s">
        <v>94</v>
      </c>
      <c r="B26" s="232"/>
      <c r="C26" s="230"/>
      <c r="D26" s="230"/>
      <c r="E26" s="315"/>
      <c r="F26" s="315"/>
      <c r="G26" s="315"/>
      <c r="H26" s="333"/>
      <c r="I26" s="333"/>
      <c r="J26" s="333"/>
      <c r="K26" s="333"/>
    </row>
    <row r="27" spans="1:11" s="235" customFormat="1" ht="16" customHeight="1">
      <c r="A27" s="306" t="s">
        <v>241</v>
      </c>
      <c r="B27" s="294">
        <v>1</v>
      </c>
      <c r="C27" s="288"/>
      <c r="D27" s="289">
        <v>5000</v>
      </c>
      <c r="E27" s="315"/>
      <c r="F27" s="315"/>
      <c r="G27" s="315"/>
      <c r="H27" s="333"/>
      <c r="I27" s="333"/>
      <c r="J27" s="333"/>
      <c r="K27" s="333"/>
    </row>
    <row r="28" spans="1:11" s="235" customFormat="1" ht="16" customHeight="1">
      <c r="A28" s="307" t="s">
        <v>242</v>
      </c>
      <c r="B28" s="295">
        <v>1</v>
      </c>
      <c r="C28" s="290"/>
      <c r="D28" s="291">
        <v>5000</v>
      </c>
      <c r="E28" s="315"/>
      <c r="F28" s="315"/>
      <c r="G28" s="315"/>
      <c r="H28" s="333"/>
      <c r="I28" s="333"/>
      <c r="J28" s="333"/>
      <c r="K28" s="333"/>
    </row>
    <row r="29" spans="1:11" s="235" customFormat="1" ht="16" customHeight="1">
      <c r="A29" s="312" t="s">
        <v>95</v>
      </c>
      <c r="B29" s="296">
        <v>1</v>
      </c>
      <c r="C29" s="292"/>
      <c r="D29" s="293">
        <v>500</v>
      </c>
      <c r="E29" s="356" t="s">
        <v>257</v>
      </c>
      <c r="F29" s="315"/>
      <c r="G29" s="315"/>
      <c r="H29" s="333"/>
      <c r="I29" s="333"/>
      <c r="J29" s="333"/>
      <c r="K29" s="333"/>
    </row>
    <row r="30" spans="1:11" s="235" customFormat="1" ht="16" customHeight="1">
      <c r="A30" s="230"/>
      <c r="B30" s="232"/>
      <c r="C30" s="230"/>
      <c r="D30" s="234"/>
      <c r="E30" s="315"/>
      <c r="F30" s="315"/>
      <c r="G30" s="315"/>
      <c r="H30" s="333"/>
      <c r="I30" s="333"/>
      <c r="J30" s="333"/>
      <c r="K30" s="333"/>
    </row>
    <row r="31" spans="1:11" s="235" customFormat="1" ht="16" customHeight="1">
      <c r="A31" s="306" t="s">
        <v>240</v>
      </c>
      <c r="B31" s="294">
        <v>1</v>
      </c>
      <c r="C31" s="288"/>
      <c r="D31" s="289">
        <v>5000</v>
      </c>
      <c r="E31" s="315"/>
      <c r="F31" s="315"/>
      <c r="G31" s="315"/>
      <c r="H31" s="333"/>
      <c r="I31" s="333"/>
      <c r="J31" s="333"/>
      <c r="K31" s="333"/>
    </row>
    <row r="32" spans="1:11" ht="16" customHeight="1">
      <c r="A32" s="308" t="s">
        <v>239</v>
      </c>
      <c r="B32" s="295">
        <v>1</v>
      </c>
      <c r="C32" s="290"/>
      <c r="D32" s="291">
        <v>5000</v>
      </c>
      <c r="E32" s="377"/>
      <c r="F32" s="377"/>
      <c r="G32" s="377"/>
      <c r="H32" s="377"/>
      <c r="I32" s="377"/>
      <c r="J32" s="377"/>
    </row>
    <row r="33" spans="1:16" ht="16" customHeight="1">
      <c r="A33" s="311" t="s">
        <v>243</v>
      </c>
      <c r="B33" s="297">
        <v>1</v>
      </c>
      <c r="C33" s="298"/>
      <c r="D33" s="361">
        <v>1500</v>
      </c>
      <c r="E33" s="376" t="s">
        <v>256</v>
      </c>
      <c r="F33" s="376"/>
      <c r="G33" s="376"/>
      <c r="H33" s="376"/>
      <c r="I33" s="376"/>
      <c r="J33" s="376"/>
    </row>
    <row r="34" spans="1:16" ht="16" customHeight="1">
      <c r="A34" s="303"/>
      <c r="B34" s="304"/>
      <c r="C34" s="303"/>
      <c r="D34" s="305"/>
      <c r="E34" s="334"/>
      <c r="F34" s="334"/>
      <c r="G34" s="334"/>
      <c r="H34" s="334"/>
      <c r="I34" s="334"/>
      <c r="J34" s="334"/>
    </row>
    <row r="35" spans="1:16" ht="16" customHeight="1">
      <c r="A35" s="306" t="s">
        <v>93</v>
      </c>
      <c r="B35" s="294">
        <v>1</v>
      </c>
      <c r="C35" s="288"/>
      <c r="D35" s="289">
        <v>2000</v>
      </c>
      <c r="E35" s="356" t="s">
        <v>255</v>
      </c>
      <c r="F35" s="356"/>
    </row>
    <row r="36" spans="1:16" ht="16" customHeight="1">
      <c r="A36" s="307" t="s">
        <v>202</v>
      </c>
      <c r="B36" s="295">
        <v>2</v>
      </c>
      <c r="C36" s="290"/>
      <c r="D36" s="321">
        <f>B36*F36</f>
        <v>6000</v>
      </c>
      <c r="E36" s="335" t="s">
        <v>247</v>
      </c>
      <c r="F36" s="336">
        <v>3000</v>
      </c>
      <c r="G36" s="360" t="s">
        <v>254</v>
      </c>
      <c r="H36" s="360"/>
      <c r="I36" s="360"/>
      <c r="J36" s="360"/>
      <c r="K36" s="356"/>
      <c r="L36" s="234"/>
      <c r="M36" s="234"/>
      <c r="N36" s="234"/>
      <c r="O36" s="234"/>
      <c r="P36" s="234"/>
    </row>
    <row r="37" spans="1:16" ht="16" customHeight="1">
      <c r="A37" s="307" t="s">
        <v>96</v>
      </c>
      <c r="B37" s="295">
        <v>1</v>
      </c>
      <c r="C37" s="290"/>
      <c r="D37" s="291">
        <v>5000</v>
      </c>
      <c r="E37" s="375" t="s">
        <v>97</v>
      </c>
      <c r="F37" s="375"/>
      <c r="G37" s="375"/>
      <c r="H37" s="375"/>
      <c r="I37" s="375"/>
      <c r="J37" s="375"/>
    </row>
    <row r="38" spans="1:16" ht="16" customHeight="1">
      <c r="A38" s="308" t="s">
        <v>98</v>
      </c>
      <c r="B38" s="295">
        <f>B39+B40</f>
        <v>2</v>
      </c>
      <c r="C38" s="290"/>
      <c r="D38" s="291">
        <f>D40+D39</f>
        <v>4500</v>
      </c>
      <c r="E38" s="378"/>
      <c r="F38" s="378"/>
      <c r="G38" s="378"/>
      <c r="H38" s="378"/>
      <c r="I38" s="378"/>
      <c r="J38" s="378"/>
    </row>
    <row r="39" spans="1:16" ht="16" customHeight="1">
      <c r="A39" s="309" t="s">
        <v>99</v>
      </c>
      <c r="B39" s="299">
        <v>1</v>
      </c>
      <c r="C39" s="300"/>
      <c r="D39" s="291">
        <v>3000</v>
      </c>
      <c r="E39" s="315" t="s">
        <v>90</v>
      </c>
      <c r="F39" s="337"/>
      <c r="G39" s="337"/>
    </row>
    <row r="40" spans="1:16" ht="16" customHeight="1">
      <c r="A40" s="310" t="s">
        <v>100</v>
      </c>
      <c r="B40" s="301">
        <v>1</v>
      </c>
      <c r="C40" s="302"/>
      <c r="D40" s="293">
        <v>1500</v>
      </c>
      <c r="E40" s="315" t="s">
        <v>90</v>
      </c>
      <c r="F40" s="337"/>
      <c r="G40" s="337"/>
    </row>
    <row r="41" spans="1:16" ht="16" customHeight="1">
      <c r="B41" s="232"/>
    </row>
    <row r="42" spans="1:16" ht="16" customHeight="1">
      <c r="A42" s="306" t="s">
        <v>101</v>
      </c>
      <c r="B42" s="294"/>
      <c r="C42" s="288"/>
      <c r="D42" s="316">
        <v>0.15</v>
      </c>
      <c r="E42" s="315" t="s">
        <v>102</v>
      </c>
    </row>
    <row r="43" spans="1:16" ht="16" customHeight="1">
      <c r="A43" s="307" t="s">
        <v>103</v>
      </c>
      <c r="B43" s="295"/>
      <c r="C43" s="290"/>
      <c r="D43" s="317">
        <v>0.13800000000000001</v>
      </c>
    </row>
    <row r="44" spans="1:16" ht="16" customHeight="1">
      <c r="A44" s="312" t="s">
        <v>104</v>
      </c>
      <c r="B44" s="296"/>
      <c r="C44" s="292"/>
      <c r="D44" s="318">
        <v>0.12</v>
      </c>
      <c r="E44" s="315" t="s">
        <v>105</v>
      </c>
    </row>
    <row r="45" spans="1:16">
      <c r="A45" s="313" t="s">
        <v>96</v>
      </c>
      <c r="B45" s="232"/>
    </row>
    <row r="46" spans="1:16" ht="16" customHeight="1">
      <c r="A46" s="306" t="s">
        <v>106</v>
      </c>
      <c r="B46" s="294"/>
      <c r="C46" s="288"/>
      <c r="D46" s="289">
        <v>10000</v>
      </c>
      <c r="E46" s="356" t="s">
        <v>253</v>
      </c>
      <c r="F46" s="356"/>
      <c r="G46" s="356"/>
      <c r="H46" s="356"/>
    </row>
    <row r="47" spans="1:16" ht="16" customHeight="1">
      <c r="A47" s="307" t="s">
        <v>107</v>
      </c>
      <c r="B47" s="295"/>
      <c r="C47" s="290"/>
      <c r="D47" s="291">
        <v>5000</v>
      </c>
      <c r="E47" s="356" t="s">
        <v>251</v>
      </c>
      <c r="F47" s="356"/>
      <c r="G47" s="356"/>
      <c r="H47" s="356"/>
      <c r="I47" s="356"/>
      <c r="J47" s="356"/>
      <c r="K47" s="356"/>
    </row>
    <row r="48" spans="1:16" ht="16" customHeight="1">
      <c r="A48" s="307" t="s">
        <v>109</v>
      </c>
      <c r="B48" s="295">
        <v>1</v>
      </c>
      <c r="C48" s="290"/>
      <c r="D48" s="291">
        <v>5000</v>
      </c>
      <c r="E48" s="358" t="s">
        <v>249</v>
      </c>
      <c r="F48" s="358"/>
      <c r="G48" s="358"/>
      <c r="H48" s="358"/>
      <c r="I48" s="358"/>
      <c r="J48" s="358"/>
      <c r="K48" s="356"/>
    </row>
    <row r="49" spans="1:15" ht="16" customHeight="1">
      <c r="A49" s="307" t="s">
        <v>108</v>
      </c>
      <c r="B49" s="295">
        <v>1</v>
      </c>
      <c r="C49" s="290"/>
      <c r="D49" s="362">
        <f>2*1500</f>
        <v>3000</v>
      </c>
      <c r="E49" s="358" t="s">
        <v>252</v>
      </c>
      <c r="F49" s="358"/>
      <c r="G49" s="359"/>
      <c r="H49" s="359"/>
      <c r="I49" s="358"/>
      <c r="J49" s="358"/>
      <c r="K49" s="356"/>
    </row>
    <row r="50" spans="1:15" ht="16" customHeight="1">
      <c r="A50" s="307" t="s">
        <v>110</v>
      </c>
      <c r="B50" s="290"/>
      <c r="C50" s="290"/>
      <c r="D50" s="317">
        <v>0</v>
      </c>
      <c r="E50" s="315" t="s">
        <v>111</v>
      </c>
    </row>
    <row r="51" spans="1:15" ht="16" customHeight="1">
      <c r="A51" s="312" t="s">
        <v>133</v>
      </c>
      <c r="B51" s="292"/>
      <c r="C51" s="292"/>
      <c r="D51" s="293">
        <v>2000</v>
      </c>
      <c r="E51" s="315" t="s">
        <v>134</v>
      </c>
    </row>
    <row r="52" spans="1:15" ht="16" customHeight="1">
      <c r="A52" s="233" t="s">
        <v>135</v>
      </c>
    </row>
    <row r="53" spans="1:15" ht="16" customHeight="1">
      <c r="A53" s="306" t="s">
        <v>112</v>
      </c>
      <c r="B53" s="319"/>
      <c r="C53" s="319">
        <v>20000</v>
      </c>
      <c r="D53" s="320">
        <f>C53/12</f>
        <v>1666.6666666666667</v>
      </c>
      <c r="E53" s="315" t="s">
        <v>113</v>
      </c>
    </row>
    <row r="54" spans="1:15" ht="16" customHeight="1">
      <c r="A54" s="307" t="s">
        <v>114</v>
      </c>
      <c r="B54" s="308"/>
      <c r="C54" s="308">
        <v>2400</v>
      </c>
      <c r="D54" s="321">
        <f>C54/12</f>
        <v>200</v>
      </c>
      <c r="E54" s="315" t="s">
        <v>115</v>
      </c>
    </row>
    <row r="55" spans="1:15" ht="16" customHeight="1">
      <c r="A55" s="307" t="s">
        <v>116</v>
      </c>
      <c r="B55" s="308"/>
      <c r="C55" s="308"/>
      <c r="D55" s="321">
        <v>100</v>
      </c>
      <c r="E55" s="315" t="s">
        <v>117</v>
      </c>
    </row>
    <row r="56" spans="1:15" ht="16" customHeight="1">
      <c r="A56" s="307" t="s">
        <v>118</v>
      </c>
      <c r="B56" s="308" t="s">
        <v>203</v>
      </c>
      <c r="C56" s="308"/>
      <c r="D56" s="321">
        <v>250</v>
      </c>
      <c r="E56" s="315" t="s">
        <v>119</v>
      </c>
    </row>
    <row r="57" spans="1:15" ht="16" customHeight="1">
      <c r="A57" s="307" t="s">
        <v>120</v>
      </c>
      <c r="B57" s="308"/>
      <c r="C57" s="308"/>
      <c r="D57" s="321">
        <v>0</v>
      </c>
      <c r="E57" s="315" t="s">
        <v>121</v>
      </c>
    </row>
    <row r="58" spans="1:15" ht="16" customHeight="1">
      <c r="A58" s="307" t="s">
        <v>122</v>
      </c>
      <c r="B58" s="308"/>
      <c r="C58" s="308"/>
      <c r="D58" s="321">
        <v>1000</v>
      </c>
      <c r="E58" s="315" t="s">
        <v>123</v>
      </c>
    </row>
    <row r="59" spans="1:15" ht="16" customHeight="1">
      <c r="A59" s="312" t="s">
        <v>220</v>
      </c>
      <c r="B59" s="322">
        <f>(201375*1.4)/1.5+(100000+50000)</f>
        <v>337950</v>
      </c>
      <c r="C59" s="292"/>
      <c r="D59" s="323">
        <f>B59</f>
        <v>337950</v>
      </c>
      <c r="E59" s="374"/>
      <c r="F59" s="374"/>
      <c r="G59" s="374"/>
      <c r="H59" s="374"/>
      <c r="I59" s="374"/>
      <c r="J59" s="374"/>
      <c r="K59" s="338"/>
      <c r="L59" s="234"/>
      <c r="M59" s="234"/>
      <c r="N59" s="234"/>
      <c r="O59" s="234"/>
    </row>
    <row r="60" spans="1:15">
      <c r="A60" s="313" t="s">
        <v>244</v>
      </c>
    </row>
    <row r="61" spans="1:15">
      <c r="A61" s="324" t="s">
        <v>246</v>
      </c>
      <c r="B61" s="288">
        <v>10</v>
      </c>
      <c r="C61" s="288"/>
      <c r="D61" s="289"/>
    </row>
    <row r="62" spans="1:15">
      <c r="A62" s="307" t="s">
        <v>137</v>
      </c>
      <c r="B62" s="325">
        <v>400</v>
      </c>
      <c r="C62" s="308" t="s">
        <v>204</v>
      </c>
      <c r="D62" s="321">
        <f>B62*B61</f>
        <v>4000</v>
      </c>
      <c r="E62" s="356" t="s">
        <v>250</v>
      </c>
      <c r="F62" s="356"/>
      <c r="G62" s="356"/>
      <c r="H62" s="356"/>
      <c r="I62" s="356"/>
      <c r="J62" s="356"/>
      <c r="K62" s="356"/>
      <c r="L62" s="357"/>
    </row>
    <row r="63" spans="1:15">
      <c r="A63" s="307" t="s">
        <v>124</v>
      </c>
      <c r="B63" s="325">
        <v>50</v>
      </c>
      <c r="C63" s="308" t="s">
        <v>204</v>
      </c>
      <c r="D63" s="321">
        <f>B63*B61</f>
        <v>500</v>
      </c>
      <c r="E63" s="315" t="s">
        <v>125</v>
      </c>
    </row>
    <row r="64" spans="1:15">
      <c r="A64" s="312" t="s">
        <v>126</v>
      </c>
      <c r="B64" s="326">
        <v>100</v>
      </c>
      <c r="C64" s="327" t="s">
        <v>205</v>
      </c>
      <c r="D64" s="323">
        <f>B64</f>
        <v>100</v>
      </c>
      <c r="E64" s="315" t="s">
        <v>138</v>
      </c>
    </row>
    <row r="65" spans="1:5">
      <c r="A65" s="313" t="s">
        <v>245</v>
      </c>
    </row>
    <row r="66" spans="1:5">
      <c r="A66" s="306" t="s">
        <v>127</v>
      </c>
      <c r="B66" s="288"/>
      <c r="C66" s="288"/>
      <c r="D66" s="320">
        <v>2000</v>
      </c>
      <c r="E66" s="315" t="s">
        <v>128</v>
      </c>
    </row>
    <row r="67" spans="1:5">
      <c r="A67" s="312" t="s">
        <v>129</v>
      </c>
      <c r="B67" s="292"/>
      <c r="C67" s="292"/>
      <c r="D67" s="323">
        <v>2000</v>
      </c>
      <c r="E67" s="315" t="s">
        <v>130</v>
      </c>
    </row>
  </sheetData>
  <mergeCells count="5">
    <mergeCell ref="E59:J59"/>
    <mergeCell ref="E37:J37"/>
    <mergeCell ref="E33:J33"/>
    <mergeCell ref="E32:J32"/>
    <mergeCell ref="E38:J38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E5" sqref="E5"/>
    </sheetView>
  </sheetViews>
  <sheetFormatPr baseColWidth="10" defaultColWidth="10.83203125" defaultRowHeight="16" x14ac:dyDescent="0"/>
  <cols>
    <col min="1" max="1" width="30.1640625" style="1" customWidth="1"/>
    <col min="2" max="2" width="22" style="1" customWidth="1"/>
    <col min="3" max="3" width="15.5" style="1" customWidth="1"/>
    <col min="4" max="8" width="20.83203125" style="1" customWidth="1"/>
    <col min="9" max="16384" width="10.83203125" style="1"/>
  </cols>
  <sheetData>
    <row r="1" spans="1:9" ht="24" customHeight="1">
      <c r="A1" s="2" t="s">
        <v>221</v>
      </c>
      <c r="B1" s="2"/>
      <c r="C1" s="2"/>
    </row>
    <row r="2" spans="1:9" ht="24" customHeight="1">
      <c r="A2" s="2"/>
      <c r="B2" s="2"/>
      <c r="C2" s="2"/>
    </row>
    <row r="3" spans="1:9" ht="33" customHeight="1">
      <c r="A3" s="260" t="s">
        <v>225</v>
      </c>
      <c r="B3" s="282">
        <v>4000000</v>
      </c>
      <c r="C3" s="260" t="s">
        <v>228</v>
      </c>
      <c r="D3" s="260"/>
      <c r="E3" s="281">
        <v>0.15</v>
      </c>
    </row>
    <row r="4" spans="1:9" ht="24" customHeight="1">
      <c r="A4" s="2"/>
      <c r="B4" s="2"/>
      <c r="E4" s="281">
        <v>0.2</v>
      </c>
    </row>
    <row r="5" spans="1:9" ht="24" customHeight="1">
      <c r="A5" s="2"/>
      <c r="B5" s="2"/>
      <c r="C5" s="2"/>
    </row>
    <row r="6" spans="1:9" ht="28" customHeight="1">
      <c r="A6" s="264"/>
      <c r="B6" s="264"/>
      <c r="C6" s="265"/>
      <c r="D6" s="265"/>
      <c r="E6" s="380" t="s">
        <v>222</v>
      </c>
      <c r="F6" s="380"/>
      <c r="G6" s="380"/>
      <c r="H6" s="265"/>
      <c r="I6" s="264"/>
    </row>
    <row r="7" spans="1:9" ht="30" customHeight="1">
      <c r="A7" s="379" t="s">
        <v>226</v>
      </c>
      <c r="B7" s="379"/>
      <c r="C7" s="266"/>
      <c r="D7" s="283">
        <v>10</v>
      </c>
      <c r="E7" s="283">
        <v>15</v>
      </c>
      <c r="F7" s="283">
        <v>20</v>
      </c>
      <c r="G7" s="283">
        <v>30</v>
      </c>
      <c r="H7" s="283">
        <v>40</v>
      </c>
      <c r="I7" s="264"/>
    </row>
    <row r="8" spans="1:9">
      <c r="A8" s="264"/>
      <c r="B8" s="264"/>
      <c r="C8" s="264"/>
      <c r="D8" s="278"/>
      <c r="E8" s="279"/>
      <c r="F8" s="279"/>
      <c r="G8" s="279"/>
      <c r="H8" s="280"/>
      <c r="I8" s="264"/>
    </row>
    <row r="9" spans="1:9" ht="23" customHeight="1">
      <c r="A9" s="268" t="s">
        <v>223</v>
      </c>
      <c r="B9" s="262">
        <f>'CostRev comparison'!AO68</f>
        <v>16390838.580012504</v>
      </c>
      <c r="C9" s="261"/>
      <c r="D9" s="277">
        <f>$B9*D$7</f>
        <v>163908385.80012503</v>
      </c>
      <c r="E9" s="277">
        <f t="shared" ref="E9:H9" si="0">$B9*E$7</f>
        <v>245862578.70018756</v>
      </c>
      <c r="F9" s="277">
        <f t="shared" si="0"/>
        <v>327816771.60025007</v>
      </c>
      <c r="G9" s="277">
        <f t="shared" si="0"/>
        <v>491725157.40037513</v>
      </c>
      <c r="H9" s="277">
        <f t="shared" si="0"/>
        <v>655633543.20050013</v>
      </c>
      <c r="I9" s="264"/>
    </row>
    <row r="10" spans="1:9" ht="23" customHeight="1">
      <c r="A10" s="264"/>
      <c r="B10" s="261"/>
      <c r="C10" s="261"/>
      <c r="D10" s="271"/>
      <c r="E10" s="271"/>
      <c r="F10" s="271"/>
      <c r="G10" s="271"/>
      <c r="H10" s="271"/>
      <c r="I10" s="264"/>
    </row>
    <row r="11" spans="1:9" ht="23" customHeight="1">
      <c r="A11" s="264"/>
      <c r="B11" s="269">
        <f>$E$3</f>
        <v>0.15</v>
      </c>
      <c r="C11" s="261"/>
      <c r="D11" s="271">
        <f>D$9*$B11</f>
        <v>24586257.870018754</v>
      </c>
      <c r="E11" s="271">
        <f t="shared" ref="E11:H11" si="1">E$9*$B11</f>
        <v>36879386.805028133</v>
      </c>
      <c r="F11" s="271">
        <f t="shared" si="1"/>
        <v>49172515.740037508</v>
      </c>
      <c r="G11" s="271">
        <f t="shared" si="1"/>
        <v>73758773.610056266</v>
      </c>
      <c r="H11" s="271">
        <f t="shared" si="1"/>
        <v>98345031.480075017</v>
      </c>
      <c r="I11" s="264"/>
    </row>
    <row r="12" spans="1:9" ht="23" customHeight="1">
      <c r="A12" s="264"/>
      <c r="B12" s="270" t="s">
        <v>227</v>
      </c>
      <c r="C12" s="270"/>
      <c r="D12" s="272">
        <f>-(1-((POWER(D11/$B$3,0.2))))</f>
        <v>0.43789273094573855</v>
      </c>
      <c r="E12" s="272">
        <f t="shared" ref="E12:H12" si="2">-(1-((POWER(E11/$B$3,0.2))))</f>
        <v>0.559354076721021</v>
      </c>
      <c r="F12" s="272">
        <f t="shared" si="2"/>
        <v>0.65170501469956421</v>
      </c>
      <c r="G12" s="272">
        <f t="shared" si="2"/>
        <v>0.79122746278735723</v>
      </c>
      <c r="H12" s="272">
        <f t="shared" si="2"/>
        <v>0.89731083332574291</v>
      </c>
      <c r="I12" s="264"/>
    </row>
    <row r="13" spans="1:9" ht="23" customHeight="1">
      <c r="A13" s="264"/>
      <c r="B13" s="261"/>
      <c r="C13" s="261"/>
      <c r="D13" s="271"/>
      <c r="E13" s="271"/>
      <c r="F13" s="271"/>
      <c r="G13" s="271"/>
      <c r="H13" s="271"/>
      <c r="I13" s="264"/>
    </row>
    <row r="14" spans="1:9" ht="23" customHeight="1">
      <c r="A14" s="264"/>
      <c r="B14" s="269">
        <f>$E$4</f>
        <v>0.2</v>
      </c>
      <c r="C14" s="261"/>
      <c r="D14" s="271">
        <f t="shared" ref="D14:H14" si="3">D$9*$B14</f>
        <v>32781677.160025008</v>
      </c>
      <c r="E14" s="271">
        <f t="shared" si="3"/>
        <v>49172515.740037516</v>
      </c>
      <c r="F14" s="271">
        <f t="shared" si="3"/>
        <v>65563354.320050016</v>
      </c>
      <c r="G14" s="271">
        <f t="shared" si="3"/>
        <v>98345031.480075032</v>
      </c>
      <c r="H14" s="271">
        <f t="shared" si="3"/>
        <v>131126708.64010003</v>
      </c>
      <c r="I14" s="264"/>
    </row>
    <row r="15" spans="1:9" ht="23" customHeight="1">
      <c r="A15" s="264"/>
      <c r="B15" s="270" t="s">
        <v>227</v>
      </c>
      <c r="C15" s="270"/>
      <c r="D15" s="272">
        <f>-(1-((POWER(D14/$B$3,0.2))))</f>
        <v>0.52305026148851153</v>
      </c>
      <c r="E15" s="272">
        <f t="shared" ref="E15:H15" si="4">-(1-((POWER(E14/$B$3,0.2))))</f>
        <v>0.65170501469956443</v>
      </c>
      <c r="F15" s="272">
        <f t="shared" si="4"/>
        <v>0.74952532994965715</v>
      </c>
      <c r="G15" s="272">
        <f t="shared" si="4"/>
        <v>0.89731083332574313</v>
      </c>
      <c r="H15" s="272">
        <f t="shared" si="4"/>
        <v>1.0096768685388162</v>
      </c>
      <c r="I15" s="264"/>
    </row>
    <row r="16" spans="1:9" ht="23" customHeight="1">
      <c r="A16" s="264"/>
      <c r="B16" s="263"/>
      <c r="C16" s="263"/>
      <c r="D16" s="273"/>
      <c r="E16" s="273"/>
      <c r="F16" s="273"/>
      <c r="G16" s="273"/>
      <c r="H16" s="273"/>
      <c r="I16" s="264"/>
    </row>
    <row r="17" spans="1:9" ht="23" customHeight="1">
      <c r="A17" s="264"/>
      <c r="B17" s="264"/>
      <c r="C17" s="264"/>
      <c r="D17" s="267"/>
      <c r="E17" s="267"/>
      <c r="F17" s="267"/>
      <c r="G17" s="267"/>
      <c r="H17" s="267"/>
      <c r="I17" s="264"/>
    </row>
    <row r="18" spans="1:9" ht="23" customHeight="1">
      <c r="A18" s="264"/>
      <c r="B18" s="264"/>
      <c r="C18" s="264"/>
      <c r="D18" s="267"/>
      <c r="E18" s="267"/>
      <c r="F18" s="267"/>
      <c r="G18" s="267"/>
      <c r="H18" s="267"/>
      <c r="I18" s="264"/>
    </row>
    <row r="19" spans="1:9" ht="23" customHeight="1">
      <c r="A19" s="268" t="s">
        <v>230</v>
      </c>
      <c r="B19" s="262">
        <f>'CostRev comparison'!AO73</f>
        <v>24899765.555012502</v>
      </c>
      <c r="C19" s="261"/>
      <c r="D19" s="271">
        <f t="shared" ref="D19:H19" si="5">$B19*D$7</f>
        <v>248997655.550125</v>
      </c>
      <c r="E19" s="271">
        <f t="shared" si="5"/>
        <v>373496483.3251875</v>
      </c>
      <c r="F19" s="271">
        <f t="shared" si="5"/>
        <v>497995311.10025001</v>
      </c>
      <c r="G19" s="271">
        <f t="shared" si="5"/>
        <v>746992966.65037501</v>
      </c>
      <c r="H19" s="271">
        <f t="shared" si="5"/>
        <v>995990622.20050001</v>
      </c>
      <c r="I19" s="264"/>
    </row>
    <row r="20" spans="1:9" ht="23" customHeight="1">
      <c r="A20" s="264"/>
      <c r="B20" s="261"/>
      <c r="C20" s="261"/>
      <c r="D20" s="274"/>
      <c r="E20" s="274"/>
      <c r="F20" s="274"/>
      <c r="G20" s="274"/>
      <c r="H20" s="274"/>
      <c r="I20" s="264"/>
    </row>
    <row r="21" spans="1:9" ht="23" customHeight="1">
      <c r="A21" s="264"/>
      <c r="B21" s="269">
        <f>$E$3</f>
        <v>0.15</v>
      </c>
      <c r="C21" s="261"/>
      <c r="D21" s="275">
        <f>D$28*$B21</f>
        <v>50113038.795018747</v>
      </c>
      <c r="E21" s="275">
        <f>E$28*$B21</f>
        <v>75169558.192528129</v>
      </c>
      <c r="F21" s="275">
        <f>F$28*$B21</f>
        <v>100226077.59003749</v>
      </c>
      <c r="G21" s="275">
        <f>G$28*$B21</f>
        <v>150339116.38505626</v>
      </c>
      <c r="H21" s="275">
        <f>H$28*$B21</f>
        <v>200452155.18007499</v>
      </c>
      <c r="I21" s="264"/>
    </row>
    <row r="22" spans="1:9" ht="23" customHeight="1">
      <c r="A22" s="264"/>
      <c r="B22" s="270" t="s">
        <v>227</v>
      </c>
      <c r="C22" s="270"/>
      <c r="D22" s="272">
        <f t="shared" ref="D22" si="6">-(1-((POWER(D21/$B$3,0.2))))</f>
        <v>0.65797565574298722</v>
      </c>
      <c r="E22" s="272">
        <f t="shared" ref="E22" si="7">-(1-((POWER(E21/$B$3,0.2))))</f>
        <v>0.79802779598626317</v>
      </c>
      <c r="F22" s="272">
        <f t="shared" ref="F22" si="8">-(1-((POWER(F21/$B$3,0.2))))</f>
        <v>0.90451390837709988</v>
      </c>
      <c r="G22" s="272">
        <f t="shared" ref="G22" si="9">-(1-((POWER(G21/$B$3,0.2))))</f>
        <v>1.0653915714883655</v>
      </c>
      <c r="H22" s="272">
        <f t="shared" ref="H22" si="10">-(1-((POWER(H21/$B$3,0.2))))</f>
        <v>1.1877119936217486</v>
      </c>
      <c r="I22" s="264"/>
    </row>
    <row r="23" spans="1:9" ht="23" customHeight="1">
      <c r="A23" s="264"/>
      <c r="B23" s="261"/>
      <c r="C23" s="261"/>
      <c r="D23" s="274"/>
      <c r="E23" s="274"/>
      <c r="F23" s="274"/>
      <c r="G23" s="274"/>
      <c r="H23" s="274"/>
      <c r="I23" s="264"/>
    </row>
    <row r="24" spans="1:9" ht="23" customHeight="1">
      <c r="A24" s="264"/>
      <c r="B24" s="269">
        <f>$E$4</f>
        <v>0.2</v>
      </c>
      <c r="C24" s="261"/>
      <c r="D24" s="275">
        <f>D$28*$B24</f>
        <v>66817385.060025007</v>
      </c>
      <c r="E24" s="275">
        <f>E$28*$B24</f>
        <v>100226077.59003752</v>
      </c>
      <c r="F24" s="275">
        <f>F$28*$B24</f>
        <v>133634770.12005001</v>
      </c>
      <c r="G24" s="275">
        <f>G$28*$B24</f>
        <v>200452155.18007505</v>
      </c>
      <c r="H24" s="275">
        <f>H$28*$B24</f>
        <v>267269540.24010003</v>
      </c>
      <c r="I24" s="264"/>
    </row>
    <row r="25" spans="1:9" ht="23" customHeight="1">
      <c r="A25" s="264"/>
      <c r="B25" s="270" t="s">
        <v>227</v>
      </c>
      <c r="C25" s="270"/>
      <c r="D25" s="272">
        <f t="shared" ref="D25" si="11">-(1-((POWER(D24/$B$3,0.2))))</f>
        <v>0.75616734244151029</v>
      </c>
      <c r="E25" s="272">
        <f t="shared" ref="E25" si="12">-(1-((POWER(E24/$B$3,0.2))))</f>
        <v>0.90451390837709988</v>
      </c>
      <c r="F25" s="272">
        <f t="shared" ref="F25" si="13">-(1-((POWER(F24/$B$3,0.2))))</f>
        <v>1.0173065373620775</v>
      </c>
      <c r="G25" s="272">
        <f t="shared" ref="G25" si="14">-(1-((POWER(G24/$B$3,0.2))))</f>
        <v>1.1877119936217486</v>
      </c>
      <c r="H25" s="272">
        <f t="shared" ref="H25" si="15">-(1-((POWER(H24/$B$3,0.2))))</f>
        <v>1.3172767009925832</v>
      </c>
      <c r="I25" s="264"/>
    </row>
    <row r="26" spans="1:9" ht="23" customHeight="1">
      <c r="A26" s="264"/>
      <c r="B26" s="261"/>
      <c r="C26" s="261"/>
      <c r="D26" s="276"/>
      <c r="E26" s="276"/>
      <c r="F26" s="276"/>
      <c r="G26" s="276"/>
      <c r="H26" s="276"/>
      <c r="I26" s="264"/>
    </row>
    <row r="27" spans="1:9" ht="40" customHeight="1">
      <c r="A27" s="264"/>
      <c r="B27" s="264"/>
      <c r="C27" s="264"/>
      <c r="D27" s="267"/>
      <c r="E27" s="267"/>
      <c r="F27" s="267"/>
      <c r="G27" s="267"/>
      <c r="H27" s="267"/>
      <c r="I27" s="264"/>
    </row>
    <row r="28" spans="1:9" ht="23" customHeight="1">
      <c r="A28" s="268" t="s">
        <v>224</v>
      </c>
      <c r="B28" s="262">
        <f>'CostRev comparison'!AO77</f>
        <v>33408692.530012503</v>
      </c>
      <c r="C28" s="261"/>
      <c r="D28" s="271">
        <f t="shared" ref="D28:H28" si="16">$B28*D$7</f>
        <v>334086925.300125</v>
      </c>
      <c r="E28" s="271">
        <f t="shared" si="16"/>
        <v>501130387.95018756</v>
      </c>
      <c r="F28" s="271">
        <f t="shared" si="16"/>
        <v>668173850.60025001</v>
      </c>
      <c r="G28" s="271">
        <f t="shared" si="16"/>
        <v>1002260775.9003751</v>
      </c>
      <c r="H28" s="271">
        <f t="shared" si="16"/>
        <v>1336347701.2005</v>
      </c>
      <c r="I28" s="264"/>
    </row>
    <row r="29" spans="1:9" ht="23" customHeight="1">
      <c r="A29" s="264"/>
      <c r="B29" s="261"/>
      <c r="C29" s="261"/>
      <c r="D29" s="274"/>
      <c r="E29" s="274"/>
      <c r="F29" s="274"/>
      <c r="G29" s="274"/>
      <c r="H29" s="274"/>
      <c r="I29" s="264"/>
    </row>
    <row r="30" spans="1:9" ht="23" customHeight="1">
      <c r="A30" s="264"/>
      <c r="B30" s="269">
        <f>$E$3</f>
        <v>0.15</v>
      </c>
      <c r="C30" s="261"/>
      <c r="D30" s="275">
        <f>D$28*$B30</f>
        <v>50113038.795018747</v>
      </c>
      <c r="E30" s="275">
        <f t="shared" ref="E30:H30" si="17">E$28*$B30</f>
        <v>75169558.192528129</v>
      </c>
      <c r="F30" s="275">
        <f t="shared" si="17"/>
        <v>100226077.59003749</v>
      </c>
      <c r="G30" s="275">
        <f t="shared" si="17"/>
        <v>150339116.38505626</v>
      </c>
      <c r="H30" s="275">
        <f t="shared" si="17"/>
        <v>200452155.18007499</v>
      </c>
      <c r="I30" s="264"/>
    </row>
    <row r="31" spans="1:9" ht="23" customHeight="1">
      <c r="A31" s="264"/>
      <c r="B31" s="270" t="s">
        <v>227</v>
      </c>
      <c r="C31" s="270"/>
      <c r="D31" s="272">
        <f t="shared" ref="D31:H31" si="18">-(1-((POWER(D30/$B$3,0.2))))</f>
        <v>0.65797565574298722</v>
      </c>
      <c r="E31" s="272">
        <f t="shared" si="18"/>
        <v>0.79802779598626317</v>
      </c>
      <c r="F31" s="272">
        <f t="shared" si="18"/>
        <v>0.90451390837709988</v>
      </c>
      <c r="G31" s="272">
        <f t="shared" si="18"/>
        <v>1.0653915714883655</v>
      </c>
      <c r="H31" s="272">
        <f t="shared" si="18"/>
        <v>1.1877119936217486</v>
      </c>
      <c r="I31" s="264"/>
    </row>
    <row r="32" spans="1:9" ht="23" customHeight="1">
      <c r="A32" s="264"/>
      <c r="B32" s="261"/>
      <c r="C32" s="261"/>
      <c r="D32" s="274"/>
      <c r="E32" s="274"/>
      <c r="F32" s="274"/>
      <c r="G32" s="274"/>
      <c r="H32" s="274"/>
      <c r="I32" s="264"/>
    </row>
    <row r="33" spans="1:9" ht="23" customHeight="1">
      <c r="A33" s="264"/>
      <c r="B33" s="269">
        <f>$E$4</f>
        <v>0.2</v>
      </c>
      <c r="C33" s="261"/>
      <c r="D33" s="275">
        <f t="shared" ref="D33:H33" si="19">D$28*$B33</f>
        <v>66817385.060025007</v>
      </c>
      <c r="E33" s="275">
        <f t="shared" si="19"/>
        <v>100226077.59003752</v>
      </c>
      <c r="F33" s="275">
        <f t="shared" si="19"/>
        <v>133634770.12005001</v>
      </c>
      <c r="G33" s="275">
        <f t="shared" si="19"/>
        <v>200452155.18007505</v>
      </c>
      <c r="H33" s="275">
        <f t="shared" si="19"/>
        <v>267269540.24010003</v>
      </c>
      <c r="I33" s="264"/>
    </row>
    <row r="34" spans="1:9" ht="23" customHeight="1">
      <c r="A34" s="264"/>
      <c r="B34" s="270" t="s">
        <v>227</v>
      </c>
      <c r="C34" s="270"/>
      <c r="D34" s="272">
        <f t="shared" ref="D34:H34" si="20">-(1-((POWER(D33/$B$3,0.2))))</f>
        <v>0.75616734244151029</v>
      </c>
      <c r="E34" s="272">
        <f t="shared" si="20"/>
        <v>0.90451390837709988</v>
      </c>
      <c r="F34" s="272">
        <f t="shared" si="20"/>
        <v>1.0173065373620775</v>
      </c>
      <c r="G34" s="272">
        <f t="shared" si="20"/>
        <v>1.1877119936217486</v>
      </c>
      <c r="H34" s="272">
        <f t="shared" si="20"/>
        <v>1.3172767009925832</v>
      </c>
      <c r="I34" s="264"/>
    </row>
    <row r="35" spans="1:9" ht="23" customHeight="1">
      <c r="A35" s="264"/>
      <c r="B35" s="261"/>
      <c r="C35" s="261"/>
      <c r="D35" s="276"/>
      <c r="E35" s="276"/>
      <c r="F35" s="276"/>
      <c r="G35" s="276"/>
      <c r="H35" s="276"/>
      <c r="I35" s="264"/>
    </row>
    <row r="36" spans="1:9">
      <c r="A36" s="264"/>
      <c r="B36" s="264"/>
      <c r="C36" s="264"/>
      <c r="D36" s="264"/>
      <c r="E36" s="264"/>
      <c r="F36" s="264"/>
      <c r="G36" s="264"/>
      <c r="H36" s="264"/>
      <c r="I36" s="264"/>
    </row>
    <row r="37" spans="1:9">
      <c r="A37" s="264"/>
      <c r="B37" s="264"/>
      <c r="C37" s="264"/>
      <c r="D37" s="264"/>
      <c r="E37" s="264"/>
      <c r="F37" s="264"/>
      <c r="G37" s="264"/>
      <c r="H37" s="264"/>
      <c r="I37" s="264"/>
    </row>
    <row r="38" spans="1:9">
      <c r="A38" s="264"/>
      <c r="B38" s="264"/>
      <c r="C38" s="264"/>
      <c r="D38" s="264"/>
      <c r="E38" s="264"/>
      <c r="F38" s="264"/>
      <c r="G38" s="264"/>
      <c r="H38" s="264"/>
      <c r="I38" s="264"/>
    </row>
  </sheetData>
  <mergeCells count="2">
    <mergeCell ref="A7:B7"/>
    <mergeCell ref="E6:G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CostRev comparison</vt:lpstr>
      <vt:lpstr>Subscriber growth</vt:lpstr>
      <vt:lpstr>Revenue data sheet</vt:lpstr>
      <vt:lpstr>Cost Plan (monthly £)</vt:lpstr>
      <vt:lpstr>Cost Assumptions</vt:lpstr>
      <vt:lpstr>Valuation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Wendt</dc:creator>
  <cp:lastModifiedBy>Michael Wendt</cp:lastModifiedBy>
  <cp:lastPrinted>2014-12-15T15:47:13Z</cp:lastPrinted>
  <dcterms:created xsi:type="dcterms:W3CDTF">2014-12-03T18:14:01Z</dcterms:created>
  <dcterms:modified xsi:type="dcterms:W3CDTF">2015-02-08T14:44:29Z</dcterms:modified>
</cp:coreProperties>
</file>