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d18cbad2604160/Desktop/Project Finance/"/>
    </mc:Choice>
  </mc:AlternateContent>
  <xr:revisionPtr revIDLastSave="1160" documentId="8_{EAF2285A-0952-4F71-ADB9-FC55244F2E22}" xr6:coauthVersionLast="47" xr6:coauthVersionMax="47" xr10:uidLastSave="{989D298E-894D-4DF1-B8D6-94BCD44392D7}"/>
  <bookViews>
    <workbookView xWindow="-108" yWindow="-108" windowWidth="23256" windowHeight="12456" xr2:uid="{01D157B0-252D-41C1-B16F-2A8E7B509FCF}"/>
  </bookViews>
  <sheets>
    <sheet name="Assumptions" sheetId="2" r:id="rId1"/>
    <sheet name="Financial Statements" sheetId="1" r:id="rId2"/>
    <sheet name="Debt" sheetId="3" r:id="rId3"/>
    <sheet name="FCFF, FCFE &amp; IRR" sheetId="4" r:id="rId4"/>
    <sheet name="IRR Sensitivity Test" sheetId="5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4" l="1"/>
  <c r="N8" i="4" l="1"/>
  <c r="N7" i="4"/>
  <c r="N6" i="4"/>
  <c r="K9" i="4"/>
  <c r="K8" i="4"/>
  <c r="K7" i="4"/>
  <c r="D16" i="4"/>
  <c r="D8" i="4"/>
  <c r="D7" i="4"/>
  <c r="D6" i="4"/>
  <c r="B9" i="4"/>
  <c r="B8" i="4"/>
  <c r="B7" i="4"/>
  <c r="F69" i="1"/>
  <c r="F40" i="1"/>
  <c r="J39" i="1"/>
  <c r="I39" i="1"/>
  <c r="H39" i="1"/>
  <c r="I58" i="1" s="1"/>
  <c r="G39" i="1"/>
  <c r="F39" i="1"/>
  <c r="F58" i="1" s="1"/>
  <c r="F60" i="1" s="1"/>
  <c r="G9" i="1"/>
  <c r="F30" i="1"/>
  <c r="D7" i="3"/>
  <c r="F32" i="1" s="1"/>
  <c r="F63" i="1" s="1"/>
  <c r="N9" i="4" s="1"/>
  <c r="J18" i="1"/>
  <c r="I18" i="1"/>
  <c r="H18" i="1"/>
  <c r="G18" i="1"/>
  <c r="J13" i="1"/>
  <c r="I13" i="1"/>
  <c r="H13" i="1"/>
  <c r="G13" i="1"/>
  <c r="G12" i="1"/>
  <c r="H12" i="1" s="1"/>
  <c r="I12" i="1" s="1"/>
  <c r="J12" i="1" s="1"/>
  <c r="G11" i="1"/>
  <c r="H11" i="1" s="1"/>
  <c r="I11" i="1" s="1"/>
  <c r="J11" i="1" s="1"/>
  <c r="G10" i="1"/>
  <c r="H10" i="1" s="1"/>
  <c r="I10" i="1" s="1"/>
  <c r="J10" i="1" s="1"/>
  <c r="G6" i="1"/>
  <c r="H6" i="1" s="1"/>
  <c r="E16" i="2"/>
  <c r="H53" i="1" l="1"/>
  <c r="P7" i="4"/>
  <c r="I53" i="1"/>
  <c r="Q7" i="4"/>
  <c r="J53" i="1"/>
  <c r="R7" i="4"/>
  <c r="G9" i="4"/>
  <c r="Q8" i="4"/>
  <c r="G53" i="1"/>
  <c r="O7" i="4"/>
  <c r="N10" i="4"/>
  <c r="F29" i="1"/>
  <c r="F64" i="1" s="1"/>
  <c r="F66" i="1" s="1"/>
  <c r="F68" i="1" s="1"/>
  <c r="F70" i="1" s="1"/>
  <c r="I6" i="1"/>
  <c r="J6" i="1" s="1"/>
  <c r="G7" i="4"/>
  <c r="I60" i="1"/>
  <c r="E4" i="3"/>
  <c r="E5" i="3" s="1"/>
  <c r="G19" i="1" s="1"/>
  <c r="E8" i="4" s="1"/>
  <c r="H29" i="1"/>
  <c r="H58" i="1"/>
  <c r="G40" i="1"/>
  <c r="G41" i="1" s="1"/>
  <c r="H40" i="1"/>
  <c r="H41" i="1" s="1"/>
  <c r="I29" i="1"/>
  <c r="F41" i="1"/>
  <c r="D9" i="4"/>
  <c r="D10" i="4" s="1"/>
  <c r="H7" i="4"/>
  <c r="J29" i="1"/>
  <c r="J58" i="1"/>
  <c r="R8" i="4" s="1"/>
  <c r="E7" i="4"/>
  <c r="G29" i="1"/>
  <c r="G58" i="1"/>
  <c r="O8" i="4" s="1"/>
  <c r="F7" i="4"/>
  <c r="G14" i="1"/>
  <c r="G16" i="1" s="1"/>
  <c r="H9" i="1"/>
  <c r="I40" i="1" l="1"/>
  <c r="J40" i="1" s="1"/>
  <c r="J41" i="1" s="1"/>
  <c r="F9" i="4"/>
  <c r="P8" i="4"/>
  <c r="G64" i="1"/>
  <c r="E6" i="3"/>
  <c r="E9" i="3" s="1"/>
  <c r="F31" i="1"/>
  <c r="F34" i="1" s="1"/>
  <c r="I41" i="1"/>
  <c r="H60" i="1"/>
  <c r="I64" i="1"/>
  <c r="G20" i="1"/>
  <c r="G21" i="1" s="1"/>
  <c r="F43" i="1"/>
  <c r="F44" i="1" s="1"/>
  <c r="G69" i="1"/>
  <c r="E9" i="4"/>
  <c r="G60" i="1"/>
  <c r="H9" i="4"/>
  <c r="J60" i="1"/>
  <c r="J64" i="1"/>
  <c r="H64" i="1"/>
  <c r="H14" i="1"/>
  <c r="H16" i="1" s="1"/>
  <c r="I9" i="1"/>
  <c r="F46" i="1" l="1"/>
  <c r="E7" i="3"/>
  <c r="G32" i="1" s="1"/>
  <c r="G63" i="1" s="1"/>
  <c r="G22" i="1"/>
  <c r="J9" i="1"/>
  <c r="J14" i="1" s="1"/>
  <c r="J16" i="1" s="1"/>
  <c r="I14" i="1"/>
  <c r="I16" i="1" s="1"/>
  <c r="G52" i="1" l="1"/>
  <c r="G55" i="1" s="1"/>
  <c r="O6" i="4"/>
  <c r="G66" i="1"/>
  <c r="O9" i="4"/>
  <c r="F4" i="3"/>
  <c r="F6" i="3" s="1"/>
  <c r="G30" i="1"/>
  <c r="G31" i="1" s="1"/>
  <c r="G34" i="1" s="1"/>
  <c r="E6" i="4"/>
  <c r="E10" i="4" s="1"/>
  <c r="O10" i="4" l="1"/>
  <c r="G68" i="1"/>
  <c r="G70" i="1" s="1"/>
  <c r="F5" i="3"/>
  <c r="H19" i="1" s="1"/>
  <c r="F8" i="4" s="1"/>
  <c r="G43" i="1" l="1"/>
  <c r="G44" i="1" s="1"/>
  <c r="G46" i="1" s="1"/>
  <c r="H69" i="1"/>
  <c r="H20" i="1"/>
  <c r="H21" i="1" s="1"/>
  <c r="H22" i="1" s="1"/>
  <c r="F6" i="4" s="1"/>
  <c r="F10" i="4" s="1"/>
  <c r="F7" i="3"/>
  <c r="G4" i="3" s="1"/>
  <c r="G6" i="3" s="1"/>
  <c r="F9" i="3"/>
  <c r="G5" i="3"/>
  <c r="I19" i="1" s="1"/>
  <c r="H32" i="1" l="1"/>
  <c r="H63" i="1" s="1"/>
  <c r="H30" i="1"/>
  <c r="H31" i="1" s="1"/>
  <c r="P6" i="4"/>
  <c r="H52" i="1"/>
  <c r="H55" i="1" s="1"/>
  <c r="G8" i="4"/>
  <c r="I20" i="1"/>
  <c r="I21" i="1" s="1"/>
  <c r="I22" i="1" s="1"/>
  <c r="Q6" i="4" s="1"/>
  <c r="G9" i="3"/>
  <c r="G7" i="3"/>
  <c r="H34" i="1" l="1"/>
  <c r="H66" i="1"/>
  <c r="H68" i="1" s="1"/>
  <c r="H70" i="1" s="1"/>
  <c r="P9" i="4"/>
  <c r="P10" i="4" s="1"/>
  <c r="H4" i="3"/>
  <c r="I32" i="1"/>
  <c r="I63" i="1" s="1"/>
  <c r="G6" i="4"/>
  <c r="G10" i="4" s="1"/>
  <c r="I52" i="1"/>
  <c r="I55" i="1" s="1"/>
  <c r="I30" i="1"/>
  <c r="H43" i="1" l="1"/>
  <c r="H44" i="1" s="1"/>
  <c r="H46" i="1" s="1"/>
  <c r="I69" i="1"/>
  <c r="I66" i="1"/>
  <c r="I68" i="1" s="1"/>
  <c r="I70" i="1" s="1"/>
  <c r="J69" i="1" s="1"/>
  <c r="Q9" i="4"/>
  <c r="Q10" i="4" s="1"/>
  <c r="I31" i="1"/>
  <c r="I34" i="1" s="1"/>
  <c r="H6" i="3"/>
  <c r="H5" i="3"/>
  <c r="J19" i="1" s="1"/>
  <c r="I43" i="1" l="1"/>
  <c r="I44" i="1" s="1"/>
  <c r="I46" i="1" s="1"/>
  <c r="H8" i="4"/>
  <c r="J20" i="1"/>
  <c r="J21" i="1" s="1"/>
  <c r="J22" i="1" s="1"/>
  <c r="R6" i="4" s="1"/>
  <c r="H9" i="3"/>
  <c r="H7" i="3"/>
  <c r="J32" i="1" s="1"/>
  <c r="J63" i="1" s="1"/>
  <c r="J66" i="1" l="1"/>
  <c r="R9" i="4"/>
  <c r="R10" i="4"/>
  <c r="J52" i="1"/>
  <c r="J55" i="1" s="1"/>
  <c r="J68" i="1" s="1"/>
  <c r="J70" i="1" s="1"/>
  <c r="J43" i="1" s="1"/>
  <c r="J44" i="1" s="1"/>
  <c r="H6" i="4"/>
  <c r="H10" i="4" s="1"/>
  <c r="J30" i="1"/>
  <c r="J31" i="1" s="1"/>
  <c r="J34" i="1" s="1"/>
  <c r="N17" i="4" l="1"/>
  <c r="N19" i="4"/>
  <c r="D17" i="4"/>
  <c r="D19" i="4"/>
  <c r="J46" i="1"/>
</calcChain>
</file>

<file path=xl/sharedStrings.xml><?xml version="1.0" encoding="utf-8"?>
<sst xmlns="http://schemas.openxmlformats.org/spreadsheetml/2006/main" count="139" uniqueCount="104">
  <si>
    <t>Premium Bus Service- Model</t>
  </si>
  <si>
    <t>Bus</t>
  </si>
  <si>
    <t>Cost of Bus</t>
  </si>
  <si>
    <t>Mainteance/Year</t>
  </si>
  <si>
    <t>Escalation Rate - Maintenance</t>
  </si>
  <si>
    <t>Life of Bus (years)</t>
  </si>
  <si>
    <t>Deprecation Rate (SLM)</t>
  </si>
  <si>
    <t>Financing</t>
  </si>
  <si>
    <t>Debt</t>
  </si>
  <si>
    <t>Equity</t>
  </si>
  <si>
    <t>Interest on Debt</t>
  </si>
  <si>
    <t>Tenure of loan (years)</t>
  </si>
  <si>
    <t>Cost of Equity</t>
  </si>
  <si>
    <t>Operating Revenues</t>
  </si>
  <si>
    <t>Seating Capacity</t>
  </si>
  <si>
    <t>Load Factor</t>
  </si>
  <si>
    <t>Tariff (Rs./Ticket)</t>
  </si>
  <si>
    <t>Escalation Rate - Tariff</t>
  </si>
  <si>
    <t>General</t>
  </si>
  <si>
    <t>Tax Rate</t>
  </si>
  <si>
    <t>Interest Income</t>
  </si>
  <si>
    <t>Diesel rate (Rs./Lit)</t>
  </si>
  <si>
    <t>Diesel Price escalation</t>
  </si>
  <si>
    <t>Inflation</t>
  </si>
  <si>
    <t>Operating Costs</t>
  </si>
  <si>
    <t>Fuel Efficiency ( Km / L )</t>
  </si>
  <si>
    <t>Driver Cost (Rs./ Trip)</t>
  </si>
  <si>
    <t>Miscellaneous (Rs. / Trip)</t>
  </si>
  <si>
    <t>Toll Amount (Rs. / Trip)</t>
  </si>
  <si>
    <t>Operating General</t>
  </si>
  <si>
    <t>Route</t>
  </si>
  <si>
    <t>Distance (Kms)</t>
  </si>
  <si>
    <t>Estimated Time Hours/Trip</t>
  </si>
  <si>
    <t>Trips / Day</t>
  </si>
  <si>
    <t>Mumbai - Pune</t>
  </si>
  <si>
    <t>#</t>
  </si>
  <si>
    <t>Income Statements</t>
  </si>
  <si>
    <t>Revenue</t>
  </si>
  <si>
    <t>Year</t>
  </si>
  <si>
    <t>Year-0</t>
  </si>
  <si>
    <t>Year-1</t>
  </si>
  <si>
    <t>Year-2</t>
  </si>
  <si>
    <t>Year-3</t>
  </si>
  <si>
    <t>Year-4</t>
  </si>
  <si>
    <t>Expenses:</t>
  </si>
  <si>
    <t>Fuel Costs</t>
  </si>
  <si>
    <t>Maintenance Expenses</t>
  </si>
  <si>
    <t>Driver Costs</t>
  </si>
  <si>
    <t>Miscellaneous Costs</t>
  </si>
  <si>
    <t>Toll Amount</t>
  </si>
  <si>
    <t>Total Expenses</t>
  </si>
  <si>
    <t>Gross Profit/ EBITDA</t>
  </si>
  <si>
    <t>Depriciation</t>
  </si>
  <si>
    <t>Interest Expenses</t>
  </si>
  <si>
    <t>Years</t>
  </si>
  <si>
    <t>Opening Debt</t>
  </si>
  <si>
    <t>EAI</t>
  </si>
  <si>
    <t>Closing Debt</t>
  </si>
  <si>
    <t>Principle Repaid</t>
  </si>
  <si>
    <t>Tax</t>
  </si>
  <si>
    <t>Earning After Tax</t>
  </si>
  <si>
    <t>Earning Before Tax</t>
  </si>
  <si>
    <t>Balance Sheet</t>
  </si>
  <si>
    <t>Liabilities</t>
  </si>
  <si>
    <t>Shareholders Fund:</t>
  </si>
  <si>
    <t>Total Shareholders Fund</t>
  </si>
  <si>
    <t>Total Liablities</t>
  </si>
  <si>
    <t>Assets</t>
  </si>
  <si>
    <t>Retained Earnings</t>
  </si>
  <si>
    <t>Gross</t>
  </si>
  <si>
    <t>Property, Plant and Equipments:</t>
  </si>
  <si>
    <t>Accummulated Depricition</t>
  </si>
  <si>
    <t>Net</t>
  </si>
  <si>
    <t>Cash</t>
  </si>
  <si>
    <t>Total Assets</t>
  </si>
  <si>
    <t>Check Sum</t>
  </si>
  <si>
    <t>Cash Flow Statement</t>
  </si>
  <si>
    <t>Operating Activities:</t>
  </si>
  <si>
    <t>Net Income (after Tax)</t>
  </si>
  <si>
    <t>Depricition</t>
  </si>
  <si>
    <t>Cash Flow Operating Activities</t>
  </si>
  <si>
    <t>Investing Activities:</t>
  </si>
  <si>
    <t>Capex</t>
  </si>
  <si>
    <t>Cash Flow Investing Activities</t>
  </si>
  <si>
    <t>Financing Activities:</t>
  </si>
  <si>
    <t>Repayment of Debt</t>
  </si>
  <si>
    <t>Cash Flow Financing Activities</t>
  </si>
  <si>
    <t>Net Change in Cash</t>
  </si>
  <si>
    <t>Cash at the end of the period</t>
  </si>
  <si>
    <t>Cash at the beginning of the period</t>
  </si>
  <si>
    <t>Calculation for Free Cash Flow to Firm (FCFF)</t>
  </si>
  <si>
    <t>Net Income</t>
  </si>
  <si>
    <t>FCFF</t>
  </si>
  <si>
    <t>Calculation for IRR</t>
  </si>
  <si>
    <t>NPV</t>
  </si>
  <si>
    <t>IRR</t>
  </si>
  <si>
    <t>IRR Sensitivity to Diesel rate and Load Factor</t>
  </si>
  <si>
    <t>Diesel Rate (INR/Ltr)</t>
  </si>
  <si>
    <t>Load factor (%)</t>
  </si>
  <si>
    <t>Calculation for Free Cash Flow to Equity (FCFE)</t>
  </si>
  <si>
    <t>FCFE</t>
  </si>
  <si>
    <t>Financing Debt (%) - For Neutral Case</t>
  </si>
  <si>
    <t>Interest Rate (%)</t>
  </si>
  <si>
    <t>IRR Sensitivity to Debt and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</si>
</sst>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&quot;₹&quot;\ #,##0.00"/>
    <numFmt numFmtId="165" formatCode="_(* #,##0_);_(* \(#,##0\);_(* &quot;-&quot;??_);_(@_)"/>
    <numFmt numFmtId="166" formatCode="&quot;₹&quot;\ #,##0;&quot;₹&quot;\ \(#,##0\);\-"/>
    <numFmt numFmtId="167" formatCode="&quot;₹&quot;\ #,##0"/>
    <numFmt numFmtId="168" formatCode="0.0%"/>
  </numFmts>
  <fonts count="19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2"/>
      <name val="Times New Roman"/>
      <family val="1"/>
    </font>
    <font>
      <sz val="18"/>
      <color theme="2"/>
      <name val="Times New Roman"/>
      <family val="1"/>
    </font>
    <font>
      <sz val="11"/>
      <color theme="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 tint="4.9989318521683403E-2"/>
      <name val="Times New Roman"/>
      <family val="1"/>
    </font>
    <font>
      <b/>
      <sz val="11"/>
      <color theme="0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rgb="FFFF0000"/>
      <name val="Times New Roman"/>
      <family val="2"/>
    </font>
    <font>
      <sz val="11"/>
      <name val="Calibri"/>
      <family val="2"/>
      <scheme val="minor"/>
    </font>
    <font>
      <i/>
      <sz val="11"/>
      <color theme="2" tint="-0.24997711111789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164" fontId="0" fillId="0" borderId="0" xfId="0" applyNumberFormat="1"/>
    <xf numFmtId="9" fontId="0" fillId="0" borderId="0" xfId="0" applyNumberFormat="1"/>
    <xf numFmtId="165" fontId="7" fillId="0" borderId="0" xfId="1" applyNumberFormat="1" applyFont="1"/>
    <xf numFmtId="0" fontId="2" fillId="0" borderId="1" xfId="0" applyFont="1" applyBorder="1"/>
    <xf numFmtId="9" fontId="7" fillId="0" borderId="0" xfId="2" applyFont="1"/>
    <xf numFmtId="9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0" fontId="8" fillId="3" borderId="1" xfId="0" applyFont="1" applyFill="1" applyBorder="1"/>
    <xf numFmtId="0" fontId="9" fillId="2" borderId="0" xfId="0" applyFont="1" applyFill="1"/>
    <xf numFmtId="0" fontId="9" fillId="2" borderId="0" xfId="0" applyFont="1" applyFill="1" applyAlignment="1">
      <alignment horizontal="right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166" fontId="0" fillId="0" borderId="1" xfId="0" applyNumberFormat="1" applyBorder="1"/>
    <xf numFmtId="166" fontId="0" fillId="0" borderId="0" xfId="0" applyNumberFormat="1"/>
    <xf numFmtId="0" fontId="2" fillId="0" borderId="2" xfId="0" applyFont="1" applyBorder="1"/>
    <xf numFmtId="166" fontId="2" fillId="0" borderId="2" xfId="0" applyNumberFormat="1" applyFont="1" applyBorder="1"/>
    <xf numFmtId="0" fontId="0" fillId="0" borderId="3" xfId="0" applyBorder="1"/>
    <xf numFmtId="166" fontId="0" fillId="0" borderId="3" xfId="0" applyNumberFormat="1" applyBorder="1"/>
    <xf numFmtId="0" fontId="0" fillId="0" borderId="2" xfId="0" applyBorder="1"/>
    <xf numFmtId="166" fontId="0" fillId="0" borderId="2" xfId="0" applyNumberFormat="1" applyBorder="1"/>
    <xf numFmtId="0" fontId="2" fillId="0" borderId="4" xfId="0" applyFont="1" applyBorder="1"/>
    <xf numFmtId="166" fontId="2" fillId="0" borderId="4" xfId="0" applyNumberFormat="1" applyFont="1" applyBorder="1"/>
    <xf numFmtId="167" fontId="0" fillId="0" borderId="0" xfId="0" applyNumberFormat="1"/>
    <xf numFmtId="0" fontId="10" fillId="3" borderId="1" xfId="0" applyFont="1" applyFill="1" applyBorder="1"/>
    <xf numFmtId="166" fontId="2" fillId="0" borderId="1" xfId="0" applyNumberFormat="1" applyFont="1" applyBorder="1"/>
    <xf numFmtId="0" fontId="2" fillId="0" borderId="3" xfId="0" applyFont="1" applyBorder="1"/>
    <xf numFmtId="0" fontId="11" fillId="0" borderId="0" xfId="0" applyFont="1"/>
    <xf numFmtId="0" fontId="2" fillId="0" borderId="5" xfId="0" applyFont="1" applyBorder="1"/>
    <xf numFmtId="0" fontId="0" fillId="0" borderId="5" xfId="0" applyBorder="1"/>
    <xf numFmtId="166" fontId="0" fillId="0" borderId="5" xfId="0" applyNumberFormat="1" applyBorder="1"/>
    <xf numFmtId="0" fontId="12" fillId="0" borderId="1" xfId="0" applyFont="1" applyBorder="1"/>
    <xf numFmtId="0" fontId="3" fillId="0" borderId="0" xfId="0" applyFont="1"/>
    <xf numFmtId="10" fontId="0" fillId="0" borderId="0" xfId="2" applyNumberFormat="1" applyFont="1" applyFill="1" applyBorder="1"/>
    <xf numFmtId="10" fontId="0" fillId="0" borderId="0" xfId="2" applyNumberFormat="1" applyFont="1" applyFill="1"/>
    <xf numFmtId="0" fontId="7" fillId="0" borderId="0" xfId="0" applyFont="1"/>
    <xf numFmtId="10" fontId="16" fillId="0" borderId="0" xfId="0" applyNumberFormat="1" applyFont="1"/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 textRotation="90" wrapText="1"/>
    </xf>
    <xf numFmtId="3" fontId="11" fillId="0" borderId="0" xfId="0" applyNumberFormat="1" applyFont="1" applyAlignment="1">
      <alignment horizontal="center"/>
    </xf>
    <xf numFmtId="1" fontId="0" fillId="0" borderId="0" xfId="0" applyNumberFormat="1"/>
    <xf numFmtId="168" fontId="17" fillId="0" borderId="0" xfId="2" applyNumberFormat="1" applyFont="1" applyFill="1" applyBorder="1"/>
    <xf numFmtId="0" fontId="14" fillId="0" borderId="0" xfId="0" applyFont="1"/>
    <xf numFmtId="0" fontId="13" fillId="0" borderId="0" xfId="0" applyFont="1" applyAlignment="1">
      <alignment vertical="center" textRotation="90"/>
    </xf>
    <xf numFmtId="9" fontId="11" fillId="0" borderId="0" xfId="2" applyFont="1" applyFill="1" applyBorder="1" applyAlignment="1">
      <alignment horizontal="center"/>
    </xf>
    <xf numFmtId="9" fontId="1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0" fontId="0" fillId="4" borderId="0" xfId="2" applyNumberFormat="1" applyFont="1" applyFill="1" applyBorder="1"/>
    <xf numFmtId="10" fontId="18" fillId="0" borderId="0" xfId="0" applyNumberFormat="1" applyFont="1"/>
    <xf numFmtId="9" fontId="11" fillId="0" borderId="6" xfId="2" applyFont="1" applyFill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9" fontId="0" fillId="0" borderId="0" xfId="2" applyFont="1" applyFill="1" applyBorder="1"/>
    <xf numFmtId="9" fontId="15" fillId="0" borderId="0" xfId="2" applyFont="1" applyFill="1" applyBorder="1" applyAlignment="1">
      <alignment vertical="center" textRotation="90" wrapText="1"/>
    </xf>
    <xf numFmtId="9" fontId="0" fillId="0" borderId="0" xfId="2" applyFont="1"/>
    <xf numFmtId="9" fontId="7" fillId="0" borderId="0" xfId="2" applyFont="1" applyFill="1" applyBorder="1"/>
    <xf numFmtId="9" fontId="15" fillId="0" borderId="0" xfId="2" applyFont="1" applyFill="1" applyBorder="1" applyAlignment="1">
      <alignment vertical="center" wrapText="1"/>
    </xf>
    <xf numFmtId="9" fontId="16" fillId="0" borderId="0" xfId="2" applyFont="1" applyFill="1" applyBorder="1"/>
    <xf numFmtId="9" fontId="15" fillId="0" borderId="0" xfId="2" applyFont="1" applyFill="1" applyBorder="1" applyAlignment="1">
      <alignment vertical="center" textRotation="90"/>
    </xf>
    <xf numFmtId="0" fontId="9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0" fontId="8" fillId="0" borderId="0" xfId="0" applyFont="1"/>
    <xf numFmtId="166" fontId="2" fillId="0" borderId="0" xfId="0" applyNumberFormat="1" applyFont="1"/>
    <xf numFmtId="10" fontId="0" fillId="0" borderId="0" xfId="0" applyNumberFormat="1"/>
    <xf numFmtId="0" fontId="12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textRotation="90" wrapText="1"/>
    </xf>
    <xf numFmtId="0" fontId="0" fillId="0" borderId="0" xfId="0" applyFill="1" applyAlignment="1">
      <alignment wrapText="1"/>
    </xf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0" fillId="0" borderId="0" xfId="0" applyFill="1"/>
    <xf numFmtId="0" fontId="0" fillId="0" borderId="0" xfId="0" applyBorder="1"/>
    <xf numFmtId="166" fontId="2" fillId="0" borderId="0" xfId="0" applyNumberFormat="1" applyFont="1" applyBorder="1" applyAlignment="1">
      <alignment horizontal="center"/>
    </xf>
    <xf numFmtId="0" fontId="12" fillId="0" borderId="0" xfId="0" applyFont="1" applyAlignment="1">
      <alignment vertical="center" textRotation="90" wrapText="1"/>
    </xf>
    <xf numFmtId="10" fontId="2" fillId="0" borderId="5" xfId="0" applyNumberFormat="1" applyFont="1" applyBorder="1" applyAlignment="1">
      <alignment horizontal="right" vertical="center"/>
    </xf>
    <xf numFmtId="0" fontId="4" fillId="2" borderId="0" xfId="0" applyFont="1" applyFill="1" applyAlignment="1">
      <alignment horizontal="center"/>
    </xf>
    <xf numFmtId="9" fontId="11" fillId="0" borderId="1" xfId="2" applyFont="1" applyBorder="1" applyAlignment="1">
      <alignment horizontal="center"/>
    </xf>
    <xf numFmtId="0" fontId="0" fillId="0" borderId="0" xfId="0" applyFill="1" applyBorder="1"/>
    <xf numFmtId="0" fontId="7" fillId="0" borderId="0" xfId="0" applyFont="1" applyFill="1" applyBorder="1"/>
    <xf numFmtId="10" fontId="18" fillId="0" borderId="0" xfId="0" applyNumberFormat="1" applyFont="1" applyFill="1" applyBorder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textRotation="90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76982-00B3-4275-9C33-2C71EFE93677}">
  <dimension ref="A2:R131"/>
  <sheetViews>
    <sheetView showGridLines="0" tabSelected="1" workbookViewId="0">
      <selection activeCell="J6" sqref="J6"/>
    </sheetView>
  </sheetViews>
  <sheetFormatPr defaultRowHeight="13.8" x14ac:dyDescent="0.25"/>
  <cols>
    <col min="1" max="1" width="1.88671875" style="1" customWidth="1"/>
    <col min="2" max="2" width="19.44140625" customWidth="1"/>
    <col min="4" max="4" width="10.6640625" bestFit="1" customWidth="1"/>
    <col min="5" max="5" width="13.33203125" bestFit="1" customWidth="1"/>
    <col min="6" max="6" width="10.5546875" customWidth="1"/>
    <col min="7" max="8" width="12.21875" bestFit="1" customWidth="1"/>
    <col min="11" max="11" width="8.109375" customWidth="1"/>
    <col min="14" max="14" width="10.6640625" bestFit="1" customWidth="1"/>
    <col min="15" max="15" width="12" bestFit="1" customWidth="1"/>
    <col min="16" max="16" width="8.5546875" customWidth="1"/>
    <col min="17" max="18" width="12" bestFit="1" customWidth="1"/>
  </cols>
  <sheetData>
    <row r="2" spans="2:17" ht="22.8" x14ac:dyDescent="0.4">
      <c r="B2" s="84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</row>
    <row r="4" spans="2:17" ht="15.6" x14ac:dyDescent="0.3">
      <c r="B4" s="3" t="s">
        <v>1</v>
      </c>
      <c r="C4" s="4"/>
      <c r="D4" s="4"/>
      <c r="E4" s="4"/>
      <c r="G4" s="3" t="s">
        <v>13</v>
      </c>
      <c r="H4" s="4"/>
      <c r="I4" s="4"/>
      <c r="J4" s="4"/>
      <c r="K4" s="4"/>
      <c r="M4" s="3" t="s">
        <v>24</v>
      </c>
      <c r="N4" s="4"/>
      <c r="O4" s="4"/>
      <c r="P4" s="4"/>
      <c r="Q4" s="4"/>
    </row>
    <row r="6" spans="2:17" x14ac:dyDescent="0.25">
      <c r="B6" t="s">
        <v>2</v>
      </c>
      <c r="E6" s="5">
        <v>7500000</v>
      </c>
      <c r="G6" t="s">
        <v>14</v>
      </c>
      <c r="K6">
        <v>60</v>
      </c>
      <c r="M6" t="s">
        <v>25</v>
      </c>
      <c r="Q6">
        <v>5</v>
      </c>
    </row>
    <row r="7" spans="2:17" x14ac:dyDescent="0.25">
      <c r="B7" t="s">
        <v>3</v>
      </c>
      <c r="E7" s="6">
        <v>0.1</v>
      </c>
      <c r="G7" t="s">
        <v>15</v>
      </c>
      <c r="K7" s="6">
        <v>0.5</v>
      </c>
      <c r="M7" t="s">
        <v>26</v>
      </c>
      <c r="Q7">
        <v>500</v>
      </c>
    </row>
    <row r="8" spans="2:17" x14ac:dyDescent="0.25">
      <c r="B8" t="s">
        <v>4</v>
      </c>
      <c r="E8" s="6">
        <v>0.15</v>
      </c>
      <c r="G8" t="s">
        <v>16</v>
      </c>
      <c r="K8" s="27">
        <v>400</v>
      </c>
      <c r="M8" t="s">
        <v>27</v>
      </c>
      <c r="Q8">
        <v>500</v>
      </c>
    </row>
    <row r="9" spans="2:17" ht="14.4" x14ac:dyDescent="0.3">
      <c r="B9" t="s">
        <v>5</v>
      </c>
      <c r="E9" s="7">
        <v>4</v>
      </c>
      <c r="G9" t="s">
        <v>17</v>
      </c>
      <c r="K9" s="6">
        <v>0.1</v>
      </c>
      <c r="M9" t="s">
        <v>28</v>
      </c>
      <c r="Q9">
        <v>500</v>
      </c>
    </row>
    <row r="10" spans="2:17" x14ac:dyDescent="0.25">
      <c r="B10" t="s">
        <v>6</v>
      </c>
      <c r="E10" s="6">
        <v>0.25</v>
      </c>
    </row>
    <row r="13" spans="2:17" ht="15.6" x14ac:dyDescent="0.3">
      <c r="B13" s="3" t="s">
        <v>7</v>
      </c>
      <c r="C13" s="4"/>
      <c r="D13" s="4"/>
      <c r="E13" s="4"/>
      <c r="G13" s="3" t="s">
        <v>18</v>
      </c>
      <c r="H13" s="4"/>
      <c r="I13" s="4"/>
      <c r="J13" s="4"/>
      <c r="K13" s="4"/>
      <c r="M13" s="3" t="s">
        <v>29</v>
      </c>
      <c r="N13" s="4"/>
      <c r="O13" s="4"/>
      <c r="P13" s="4"/>
      <c r="Q13" s="4"/>
    </row>
    <row r="15" spans="2:17" x14ac:dyDescent="0.25">
      <c r="B15" t="s">
        <v>8</v>
      </c>
      <c r="E15" s="6">
        <v>0.75</v>
      </c>
      <c r="G15" t="s">
        <v>19</v>
      </c>
      <c r="K15" s="6">
        <v>0.33</v>
      </c>
      <c r="M15" t="s">
        <v>30</v>
      </c>
      <c r="Q15" s="11" t="s">
        <v>34</v>
      </c>
    </row>
    <row r="16" spans="2:17" x14ac:dyDescent="0.25">
      <c r="B16" t="s">
        <v>9</v>
      </c>
      <c r="E16" s="6">
        <f>1-E15</f>
        <v>0.25</v>
      </c>
      <c r="G16" t="s">
        <v>20</v>
      </c>
      <c r="K16" s="10">
        <v>0.05</v>
      </c>
      <c r="M16" t="s">
        <v>31</v>
      </c>
      <c r="Q16">
        <v>155</v>
      </c>
    </row>
    <row r="17" spans="2:17" x14ac:dyDescent="0.25">
      <c r="B17" t="s">
        <v>10</v>
      </c>
      <c r="E17" s="6">
        <v>0.15</v>
      </c>
      <c r="G17" t="s">
        <v>21</v>
      </c>
      <c r="K17">
        <v>95</v>
      </c>
      <c r="M17" t="s">
        <v>32</v>
      </c>
      <c r="Q17" s="11">
        <v>3</v>
      </c>
    </row>
    <row r="18" spans="2:17" ht="14.4" x14ac:dyDescent="0.3">
      <c r="B18" t="s">
        <v>11</v>
      </c>
      <c r="E18" s="7">
        <v>4</v>
      </c>
      <c r="G18" t="s">
        <v>22</v>
      </c>
      <c r="K18" s="6">
        <v>0.15</v>
      </c>
      <c r="M18" t="s">
        <v>33</v>
      </c>
      <c r="Q18">
        <v>4</v>
      </c>
    </row>
    <row r="19" spans="2:17" ht="14.4" x14ac:dyDescent="0.3">
      <c r="B19" t="s">
        <v>12</v>
      </c>
      <c r="E19" s="9">
        <v>0.2</v>
      </c>
      <c r="G19" t="s">
        <v>23</v>
      </c>
      <c r="K19" s="6">
        <v>0.1</v>
      </c>
    </row>
    <row r="23" spans="2:17" ht="22.8" x14ac:dyDescent="0.4">
      <c r="B23" s="65"/>
      <c r="C23" s="66"/>
      <c r="D23" s="66"/>
      <c r="E23" s="66"/>
      <c r="F23" s="67"/>
    </row>
    <row r="24" spans="2:17" x14ac:dyDescent="0.25">
      <c r="B24" s="68"/>
      <c r="C24" s="68"/>
      <c r="D24" s="68"/>
      <c r="E24" s="64"/>
      <c r="F24" s="64"/>
      <c r="G24" s="64"/>
      <c r="H24" s="64"/>
    </row>
    <row r="25" spans="2:17" ht="17.399999999999999" x14ac:dyDescent="0.3">
      <c r="B25" s="69"/>
      <c r="C25" s="70"/>
      <c r="D25" s="70"/>
      <c r="E25" s="70"/>
      <c r="F25" s="70"/>
      <c r="G25" s="70"/>
      <c r="H25" s="70"/>
    </row>
    <row r="27" spans="2:17" x14ac:dyDescent="0.25">
      <c r="B27" s="2"/>
      <c r="C27" s="2"/>
      <c r="D27" s="2"/>
      <c r="E27" s="2"/>
      <c r="F27" s="71"/>
      <c r="G27" s="71"/>
      <c r="H27" s="71"/>
      <c r="N27" s="6"/>
    </row>
    <row r="28" spans="2:17" x14ac:dyDescent="0.25">
      <c r="F28" s="18"/>
      <c r="G28" s="18"/>
      <c r="H28" s="18"/>
    </row>
    <row r="29" spans="2:17" x14ac:dyDescent="0.25">
      <c r="B29" s="2"/>
      <c r="F29" s="18"/>
      <c r="G29" s="18"/>
      <c r="H29" s="18"/>
    </row>
    <row r="30" spans="2:17" x14ac:dyDescent="0.25">
      <c r="B30" s="15"/>
      <c r="F30" s="18"/>
      <c r="G30" s="18"/>
      <c r="H30" s="18"/>
    </row>
    <row r="31" spans="2:17" x14ac:dyDescent="0.25">
      <c r="B31" s="15"/>
      <c r="F31" s="18"/>
      <c r="G31" s="18"/>
      <c r="H31" s="18"/>
    </row>
    <row r="32" spans="2:17" x14ac:dyDescent="0.25">
      <c r="B32" s="15"/>
      <c r="F32" s="18"/>
      <c r="G32" s="18"/>
      <c r="H32" s="18"/>
    </row>
    <row r="33" spans="2:18" x14ac:dyDescent="0.25">
      <c r="B33" s="15"/>
      <c r="F33" s="18"/>
      <c r="G33" s="18"/>
      <c r="H33" s="18"/>
    </row>
    <row r="34" spans="2:18" x14ac:dyDescent="0.25">
      <c r="B34" s="15"/>
      <c r="F34" s="18"/>
      <c r="G34" s="18"/>
      <c r="H34" s="18"/>
    </row>
    <row r="35" spans="2:18" x14ac:dyDescent="0.25">
      <c r="B35" s="2"/>
      <c r="F35" s="18"/>
      <c r="G35" s="18"/>
      <c r="H35" s="18"/>
    </row>
    <row r="36" spans="2:18" x14ac:dyDescent="0.25">
      <c r="F36" s="18"/>
      <c r="G36" s="18"/>
      <c r="H36" s="18"/>
    </row>
    <row r="37" spans="2:18" ht="22.8" x14ac:dyDescent="0.4">
      <c r="B37" s="2"/>
      <c r="C37" s="2"/>
      <c r="D37" s="2"/>
      <c r="E37" s="2"/>
      <c r="F37" s="71"/>
      <c r="G37" s="71"/>
      <c r="H37" s="71"/>
      <c r="L37" s="65"/>
      <c r="M37" s="66"/>
      <c r="N37" s="66"/>
      <c r="O37" s="67"/>
    </row>
    <row r="38" spans="2:18" x14ac:dyDescent="0.25">
      <c r="F38" s="18"/>
      <c r="G38" s="18"/>
      <c r="H38" s="18"/>
      <c r="L38" s="68"/>
      <c r="M38" s="68"/>
      <c r="N38" s="64"/>
      <c r="O38" s="64"/>
      <c r="P38" s="64"/>
      <c r="Q38" s="64"/>
      <c r="R38" s="64"/>
    </row>
    <row r="39" spans="2:18" x14ac:dyDescent="0.25">
      <c r="F39" s="18"/>
      <c r="G39" s="18"/>
      <c r="H39" s="18"/>
      <c r="N39" s="18"/>
      <c r="O39" s="18"/>
      <c r="P39" s="18"/>
      <c r="Q39" s="18"/>
      <c r="R39" s="18"/>
    </row>
    <row r="40" spans="2:18" x14ac:dyDescent="0.25">
      <c r="F40" s="18"/>
      <c r="G40" s="18"/>
      <c r="H40" s="18"/>
      <c r="N40" s="18"/>
      <c r="O40" s="18"/>
      <c r="P40" s="18"/>
      <c r="Q40" s="18"/>
      <c r="R40" s="18"/>
    </row>
    <row r="41" spans="2:18" x14ac:dyDescent="0.25">
      <c r="B41" s="2"/>
      <c r="C41" s="2"/>
      <c r="D41" s="2"/>
      <c r="E41" s="2"/>
      <c r="F41" s="71"/>
      <c r="G41" s="71"/>
      <c r="H41" s="71"/>
      <c r="N41" s="18"/>
      <c r="O41" s="18"/>
      <c r="P41" s="18"/>
      <c r="Q41" s="18"/>
      <c r="R41" s="18"/>
    </row>
    <row r="42" spans="2:18" x14ac:dyDescent="0.25">
      <c r="F42" s="18"/>
      <c r="G42" s="18"/>
      <c r="H42" s="18"/>
      <c r="N42" s="18"/>
      <c r="O42" s="18"/>
      <c r="P42" s="18"/>
      <c r="Q42" s="18"/>
      <c r="R42" s="18"/>
    </row>
    <row r="43" spans="2:18" x14ac:dyDescent="0.25">
      <c r="B43" s="2"/>
      <c r="C43" s="2"/>
      <c r="D43" s="2"/>
      <c r="E43" s="2"/>
      <c r="F43" s="71"/>
      <c r="G43" s="71"/>
      <c r="H43" s="71"/>
    </row>
    <row r="44" spans="2:18" x14ac:dyDescent="0.25">
      <c r="F44" s="18"/>
      <c r="G44" s="18"/>
      <c r="H44" s="18"/>
      <c r="L44" s="2"/>
      <c r="M44" s="2"/>
      <c r="N44" s="2"/>
      <c r="O44" s="71"/>
      <c r="P44" s="71"/>
      <c r="Q44" s="71"/>
      <c r="R44" s="71"/>
    </row>
    <row r="45" spans="2:18" x14ac:dyDescent="0.25">
      <c r="F45" s="18"/>
      <c r="G45" s="18"/>
      <c r="H45" s="18"/>
    </row>
    <row r="46" spans="2:18" ht="17.399999999999999" x14ac:dyDescent="0.3">
      <c r="B46" s="69"/>
      <c r="C46" s="70"/>
      <c r="D46" s="70"/>
      <c r="E46" s="70"/>
      <c r="F46" s="70"/>
      <c r="G46" s="70"/>
      <c r="H46" s="70"/>
    </row>
    <row r="48" spans="2:18" ht="15.6" x14ac:dyDescent="0.3">
      <c r="B48" s="36"/>
    </row>
    <row r="49" spans="2:8" x14ac:dyDescent="0.25">
      <c r="B49" s="2"/>
    </row>
    <row r="50" spans="2:8" x14ac:dyDescent="0.25">
      <c r="E50" s="18"/>
      <c r="F50" s="18"/>
      <c r="G50" s="18"/>
      <c r="H50" s="18"/>
    </row>
    <row r="51" spans="2:8" x14ac:dyDescent="0.25">
      <c r="E51" s="18"/>
      <c r="F51" s="18"/>
      <c r="G51" s="18"/>
      <c r="H51" s="18"/>
    </row>
    <row r="52" spans="2:8" x14ac:dyDescent="0.25">
      <c r="B52" s="2"/>
      <c r="C52" s="2"/>
      <c r="D52" s="2"/>
      <c r="E52" s="71"/>
      <c r="F52" s="71"/>
      <c r="G52" s="71"/>
      <c r="H52" s="71"/>
    </row>
    <row r="53" spans="2:8" x14ac:dyDescent="0.25">
      <c r="E53" s="18"/>
      <c r="F53" s="18"/>
      <c r="G53" s="18"/>
      <c r="H53" s="18"/>
    </row>
    <row r="54" spans="2:8" x14ac:dyDescent="0.25">
      <c r="E54" s="18"/>
      <c r="F54" s="18"/>
      <c r="G54" s="18"/>
      <c r="H54" s="18"/>
    </row>
    <row r="55" spans="2:8" x14ac:dyDescent="0.25">
      <c r="B55" s="2"/>
      <c r="C55" s="2"/>
      <c r="D55" s="2"/>
      <c r="E55" s="71"/>
      <c r="F55" s="71"/>
      <c r="G55" s="71"/>
      <c r="H55" s="71"/>
    </row>
    <row r="56" spans="2:8" x14ac:dyDescent="0.25">
      <c r="E56" s="18"/>
      <c r="F56" s="18"/>
      <c r="G56" s="18"/>
      <c r="H56" s="18"/>
    </row>
    <row r="57" spans="2:8" x14ac:dyDescent="0.25">
      <c r="E57" s="18"/>
      <c r="F57" s="18"/>
      <c r="G57" s="18"/>
      <c r="H57" s="18"/>
    </row>
    <row r="58" spans="2:8" ht="15.6" x14ac:dyDescent="0.3">
      <c r="B58" s="36"/>
      <c r="E58" s="18"/>
      <c r="F58" s="18"/>
      <c r="G58" s="18"/>
      <c r="H58" s="18"/>
    </row>
    <row r="59" spans="2:8" x14ac:dyDescent="0.25">
      <c r="B59" s="2"/>
      <c r="E59" s="18"/>
      <c r="F59" s="18"/>
      <c r="G59" s="18"/>
      <c r="H59" s="18"/>
    </row>
    <row r="60" spans="2:8" x14ac:dyDescent="0.25">
      <c r="E60" s="18"/>
      <c r="F60" s="18"/>
      <c r="G60" s="18"/>
      <c r="H60" s="18"/>
    </row>
    <row r="61" spans="2:8" x14ac:dyDescent="0.25">
      <c r="E61" s="18"/>
      <c r="F61" s="18"/>
      <c r="G61" s="18"/>
      <c r="H61" s="18"/>
    </row>
    <row r="62" spans="2:8" x14ac:dyDescent="0.25">
      <c r="E62" s="18"/>
      <c r="F62" s="18"/>
      <c r="G62" s="18"/>
      <c r="H62" s="18"/>
    </row>
    <row r="63" spans="2:8" x14ac:dyDescent="0.25">
      <c r="E63" s="18"/>
      <c r="F63" s="18"/>
      <c r="G63" s="18"/>
      <c r="H63" s="18"/>
    </row>
    <row r="64" spans="2:8" x14ac:dyDescent="0.25">
      <c r="E64" s="18"/>
      <c r="F64" s="18"/>
      <c r="G64" s="18"/>
      <c r="H64" s="18"/>
    </row>
    <row r="65" spans="2:8" x14ac:dyDescent="0.25">
      <c r="B65" s="2"/>
      <c r="C65" s="2"/>
      <c r="D65" s="2"/>
      <c r="E65" s="71"/>
      <c r="F65" s="71"/>
      <c r="G65" s="71"/>
      <c r="H65" s="71"/>
    </row>
    <row r="66" spans="2:8" x14ac:dyDescent="0.25">
      <c r="E66" s="18"/>
      <c r="F66" s="18"/>
      <c r="G66" s="18"/>
      <c r="H66" s="18"/>
    </row>
    <row r="67" spans="2:8" x14ac:dyDescent="0.25">
      <c r="E67" s="18"/>
      <c r="F67" s="18"/>
      <c r="G67" s="18"/>
      <c r="H67" s="18"/>
    </row>
    <row r="68" spans="2:8" x14ac:dyDescent="0.25">
      <c r="E68" s="18"/>
      <c r="F68" s="18"/>
      <c r="G68" s="18"/>
      <c r="H68" s="18"/>
    </row>
    <row r="70" spans="2:8" ht="17.399999999999999" x14ac:dyDescent="0.3">
      <c r="B70" s="69"/>
      <c r="C70" s="70"/>
      <c r="D70" s="70"/>
      <c r="E70" s="70"/>
      <c r="F70" s="70"/>
      <c r="G70" s="70"/>
      <c r="H70" s="70"/>
    </row>
    <row r="72" spans="2:8" x14ac:dyDescent="0.25">
      <c r="B72" s="2"/>
    </row>
    <row r="73" spans="2:8" x14ac:dyDescent="0.25">
      <c r="F73" s="18"/>
      <c r="G73" s="18"/>
      <c r="H73" s="18"/>
    </row>
    <row r="74" spans="2:8" x14ac:dyDescent="0.25">
      <c r="F74" s="18"/>
      <c r="G74" s="18"/>
      <c r="H74" s="18"/>
    </row>
    <row r="75" spans="2:8" x14ac:dyDescent="0.25">
      <c r="F75" s="18"/>
      <c r="G75" s="18"/>
      <c r="H75" s="18"/>
    </row>
    <row r="76" spans="2:8" x14ac:dyDescent="0.25">
      <c r="B76" s="2"/>
      <c r="F76" s="18"/>
      <c r="G76" s="18"/>
      <c r="H76" s="18"/>
    </row>
    <row r="78" spans="2:8" x14ac:dyDescent="0.25">
      <c r="B78" s="2"/>
    </row>
    <row r="79" spans="2:8" x14ac:dyDescent="0.25">
      <c r="E79" s="18"/>
      <c r="F79" s="18"/>
      <c r="G79" s="18"/>
      <c r="H79" s="18"/>
    </row>
    <row r="81" spans="2:8" x14ac:dyDescent="0.25">
      <c r="B81" s="2"/>
      <c r="E81" s="18"/>
      <c r="F81" s="18"/>
      <c r="G81" s="18"/>
      <c r="H81" s="18"/>
    </row>
    <row r="83" spans="2:8" x14ac:dyDescent="0.25">
      <c r="B83" s="2"/>
    </row>
    <row r="84" spans="2:8" x14ac:dyDescent="0.25">
      <c r="E84" s="18"/>
      <c r="F84" s="18"/>
      <c r="G84" s="18"/>
      <c r="H84" s="18"/>
    </row>
    <row r="85" spans="2:8" x14ac:dyDescent="0.25">
      <c r="B85" s="31"/>
      <c r="E85" s="18"/>
      <c r="F85" s="18"/>
      <c r="G85" s="18"/>
      <c r="H85" s="18"/>
    </row>
    <row r="87" spans="2:8" x14ac:dyDescent="0.25">
      <c r="B87" s="2"/>
      <c r="E87" s="18"/>
      <c r="F87" s="18"/>
      <c r="G87" s="18"/>
      <c r="H87" s="18"/>
    </row>
    <row r="89" spans="2:8" x14ac:dyDescent="0.25">
      <c r="B89" s="2"/>
      <c r="E89" s="18"/>
      <c r="F89" s="18"/>
      <c r="G89" s="18"/>
      <c r="H89" s="18"/>
    </row>
    <row r="90" spans="2:8" x14ac:dyDescent="0.25">
      <c r="B90" s="2"/>
      <c r="E90" s="18"/>
      <c r="F90" s="18"/>
      <c r="G90" s="18"/>
      <c r="H90" s="18"/>
    </row>
    <row r="91" spans="2:8" x14ac:dyDescent="0.25">
      <c r="B91" s="2"/>
      <c r="E91" s="18"/>
      <c r="F91" s="18"/>
      <c r="G91" s="18"/>
      <c r="H91" s="18"/>
    </row>
    <row r="95" spans="2:8" ht="22.8" x14ac:dyDescent="0.4">
      <c r="B95" s="65"/>
      <c r="C95" s="66"/>
      <c r="D95" s="66"/>
      <c r="E95" s="66"/>
      <c r="F95" s="67"/>
    </row>
    <row r="96" spans="2:8" x14ac:dyDescent="0.25">
      <c r="B96" s="68"/>
      <c r="C96" s="68"/>
      <c r="D96" s="64"/>
      <c r="E96" s="64"/>
      <c r="F96" s="64"/>
      <c r="H96" s="64"/>
    </row>
    <row r="98" spans="2:6" x14ac:dyDescent="0.25">
      <c r="B98" s="2"/>
    </row>
    <row r="99" spans="2:6" x14ac:dyDescent="0.25">
      <c r="D99" s="18"/>
      <c r="E99" s="18"/>
      <c r="F99" s="18"/>
    </row>
    <row r="100" spans="2:6" x14ac:dyDescent="0.25">
      <c r="D100" s="18"/>
      <c r="E100" s="18"/>
      <c r="F100" s="18"/>
    </row>
    <row r="101" spans="2:6" x14ac:dyDescent="0.25">
      <c r="D101" s="18"/>
      <c r="E101" s="18"/>
      <c r="F101" s="18"/>
    </row>
    <row r="102" spans="2:6" x14ac:dyDescent="0.25">
      <c r="D102" s="18"/>
      <c r="E102" s="18"/>
      <c r="F102" s="18"/>
    </row>
    <row r="103" spans="2:6" x14ac:dyDescent="0.25">
      <c r="B103" s="2"/>
      <c r="C103" s="2"/>
      <c r="D103" s="71"/>
      <c r="E103" s="71"/>
      <c r="F103" s="71"/>
    </row>
    <row r="107" spans="2:6" x14ac:dyDescent="0.25">
      <c r="B107" s="2"/>
      <c r="C107" s="2"/>
      <c r="D107" s="2"/>
      <c r="E107" s="2"/>
      <c r="F107" s="2"/>
    </row>
    <row r="109" spans="2:6" x14ac:dyDescent="0.25">
      <c r="D109" s="18"/>
      <c r="E109" s="18"/>
      <c r="F109" s="18"/>
    </row>
    <row r="112" spans="2:6" x14ac:dyDescent="0.25">
      <c r="E112" s="18"/>
    </row>
    <row r="113" spans="2:13" ht="14.4" x14ac:dyDescent="0.3">
      <c r="E113" s="6"/>
      <c r="G113" s="39"/>
      <c r="H113" s="41"/>
      <c r="I113" s="41"/>
      <c r="J113" s="41"/>
      <c r="K113" s="41"/>
      <c r="L113" s="41"/>
      <c r="M113" s="41"/>
    </row>
    <row r="114" spans="2:13" x14ac:dyDescent="0.25">
      <c r="B114" s="2"/>
      <c r="C114" s="2"/>
      <c r="E114" s="6"/>
      <c r="G114" s="42"/>
      <c r="H114" s="40"/>
      <c r="I114" s="48"/>
      <c r="J114" s="48"/>
      <c r="K114" s="48"/>
      <c r="L114" s="48"/>
      <c r="M114" s="48"/>
    </row>
    <row r="115" spans="2:13" x14ac:dyDescent="0.25">
      <c r="G115" s="42"/>
      <c r="H115" s="49"/>
      <c r="I115" s="37"/>
      <c r="J115" s="37"/>
      <c r="K115" s="37"/>
      <c r="L115" s="37"/>
      <c r="M115" s="37"/>
    </row>
    <row r="116" spans="2:13" x14ac:dyDescent="0.25">
      <c r="G116" s="42"/>
      <c r="H116" s="49"/>
      <c r="I116" s="37"/>
      <c r="J116" s="37"/>
      <c r="K116" s="37"/>
      <c r="L116" s="37"/>
      <c r="M116" s="37"/>
    </row>
    <row r="117" spans="2:13" x14ac:dyDescent="0.25">
      <c r="G117" s="42"/>
      <c r="H117" s="49"/>
      <c r="I117" s="37"/>
      <c r="J117" s="37"/>
      <c r="K117" s="37"/>
      <c r="L117" s="37"/>
      <c r="M117" s="37"/>
    </row>
    <row r="118" spans="2:13" x14ac:dyDescent="0.25">
      <c r="G118" s="42"/>
      <c r="H118" s="49"/>
      <c r="I118" s="37"/>
      <c r="J118" s="37"/>
      <c r="K118" s="37"/>
      <c r="L118" s="37"/>
      <c r="M118" s="37"/>
    </row>
    <row r="119" spans="2:13" x14ac:dyDescent="0.25">
      <c r="C119" s="6"/>
      <c r="D119" s="6"/>
      <c r="E119" s="6"/>
      <c r="F119" s="6"/>
      <c r="G119" s="6"/>
      <c r="H119" s="6"/>
      <c r="I119" s="6"/>
      <c r="J119" s="37"/>
      <c r="K119" s="37"/>
      <c r="L119" s="37"/>
      <c r="M119" s="37"/>
    </row>
    <row r="120" spans="2:13" x14ac:dyDescent="0.25">
      <c r="C120" s="6"/>
      <c r="D120" s="37"/>
      <c r="E120" s="57"/>
      <c r="F120" s="57"/>
      <c r="G120" s="63"/>
      <c r="H120" s="48"/>
      <c r="I120" s="57"/>
      <c r="J120" s="37"/>
      <c r="K120" s="37"/>
      <c r="L120" s="37"/>
      <c r="M120" s="37"/>
    </row>
    <row r="121" spans="2:13" x14ac:dyDescent="0.25">
      <c r="C121" s="6"/>
      <c r="D121" s="37"/>
      <c r="E121" s="57"/>
      <c r="F121" s="57"/>
      <c r="G121" s="57"/>
      <c r="H121" s="57"/>
      <c r="I121" s="59"/>
    </row>
    <row r="122" spans="2:13" x14ac:dyDescent="0.25">
      <c r="C122" s="6"/>
      <c r="D122" s="37"/>
      <c r="E122" s="57"/>
      <c r="F122" s="57"/>
      <c r="G122" s="57"/>
      <c r="H122" s="57"/>
      <c r="I122" s="57"/>
    </row>
    <row r="123" spans="2:13" x14ac:dyDescent="0.25">
      <c r="C123" s="6"/>
      <c r="D123" s="37"/>
      <c r="E123" s="57"/>
      <c r="F123" s="57"/>
      <c r="G123" s="57"/>
      <c r="H123" s="57"/>
      <c r="I123" s="57"/>
    </row>
    <row r="124" spans="2:13" ht="14.4" x14ac:dyDescent="0.3">
      <c r="C124" s="6"/>
      <c r="D124" s="37"/>
      <c r="E124" s="57"/>
      <c r="F124" s="57"/>
      <c r="G124" s="60"/>
      <c r="H124" s="61"/>
      <c r="I124" s="61"/>
      <c r="J124" s="41"/>
      <c r="K124" s="41"/>
      <c r="L124" s="41"/>
      <c r="M124" s="41"/>
    </row>
    <row r="125" spans="2:13" x14ac:dyDescent="0.25">
      <c r="C125" s="6"/>
      <c r="D125" s="37"/>
      <c r="E125" s="57"/>
      <c r="F125" s="57"/>
      <c r="G125" s="58"/>
      <c r="H125" s="62"/>
      <c r="I125" s="57"/>
      <c r="J125" s="6"/>
      <c r="K125" s="6"/>
      <c r="L125" s="6"/>
      <c r="M125" s="6"/>
    </row>
    <row r="126" spans="2:13" x14ac:dyDescent="0.25">
      <c r="C126" s="72"/>
      <c r="E126" s="57"/>
      <c r="F126" s="57"/>
      <c r="G126" s="58"/>
      <c r="H126" s="57"/>
      <c r="I126" s="57"/>
      <c r="J126" s="37"/>
      <c r="K126" s="37"/>
      <c r="L126" s="37"/>
      <c r="M126" s="37"/>
    </row>
    <row r="127" spans="2:13" x14ac:dyDescent="0.25">
      <c r="E127" s="6"/>
      <c r="G127" s="42"/>
      <c r="H127" s="6"/>
      <c r="I127" s="37"/>
      <c r="J127" s="37"/>
      <c r="K127" s="37"/>
      <c r="L127" s="37"/>
      <c r="M127" s="37"/>
    </row>
    <row r="128" spans="2:13" x14ac:dyDescent="0.25">
      <c r="G128" s="42"/>
      <c r="H128" s="6"/>
      <c r="I128" s="37"/>
      <c r="J128" s="37"/>
      <c r="K128" s="37"/>
      <c r="L128" s="37"/>
      <c r="M128" s="37"/>
    </row>
    <row r="129" spans="7:13" x14ac:dyDescent="0.25">
      <c r="G129" s="42"/>
      <c r="H129" s="6"/>
      <c r="I129" s="37"/>
      <c r="J129" s="37"/>
      <c r="K129" s="37"/>
      <c r="L129" s="37"/>
      <c r="M129" s="37"/>
    </row>
    <row r="130" spans="7:13" x14ac:dyDescent="0.25">
      <c r="G130" s="42"/>
      <c r="H130" s="6"/>
      <c r="I130" s="37"/>
      <c r="J130" s="37"/>
      <c r="K130" s="37"/>
      <c r="L130" s="37"/>
      <c r="M130" s="37"/>
    </row>
    <row r="131" spans="7:13" x14ac:dyDescent="0.25">
      <c r="G131" s="42"/>
      <c r="H131" s="6"/>
      <c r="I131" s="37"/>
      <c r="J131" s="37"/>
      <c r="K131" s="37"/>
      <c r="L131" s="37"/>
      <c r="M131" s="37"/>
    </row>
  </sheetData>
  <mergeCells count="1">
    <mergeCell ref="B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6C86-5D90-43E0-BC09-087F11DC95AC}">
  <dimension ref="A2:J71"/>
  <sheetViews>
    <sheetView showGridLines="0" workbookViewId="0">
      <pane xSplit="4" ySplit="3" topLeftCell="E46" activePane="bottomRight" state="frozen"/>
      <selection pane="topRight" activeCell="E1" sqref="E1"/>
      <selection pane="bottomLeft" activeCell="A4" sqref="A4"/>
      <selection pane="bottomRight" activeCell="B2" sqref="B2:J2"/>
    </sheetView>
  </sheetViews>
  <sheetFormatPr defaultRowHeight="13.8" x14ac:dyDescent="0.25"/>
  <cols>
    <col min="1" max="1" width="1.88671875" style="1" customWidth="1"/>
    <col min="4" max="4" width="13.88671875" customWidth="1"/>
    <col min="6" max="6" width="12" bestFit="1" customWidth="1"/>
    <col min="7" max="7" width="15.88671875" bestFit="1" customWidth="1"/>
    <col min="8" max="10" width="14.88671875" bestFit="1" customWidth="1"/>
  </cols>
  <sheetData>
    <row r="2" spans="1:10" ht="22.8" x14ac:dyDescent="0.4">
      <c r="B2" s="84" t="s">
        <v>0</v>
      </c>
      <c r="C2" s="84"/>
      <c r="D2" s="84"/>
      <c r="E2" s="84"/>
      <c r="F2" s="84"/>
      <c r="G2" s="84"/>
      <c r="H2" s="84"/>
      <c r="I2" s="84"/>
      <c r="J2" s="84"/>
    </row>
    <row r="3" spans="1:10" x14ac:dyDescent="0.25">
      <c r="B3" s="13" t="s">
        <v>38</v>
      </c>
      <c r="C3" s="13"/>
      <c r="D3" s="13"/>
      <c r="E3" s="13"/>
      <c r="F3" s="14" t="s">
        <v>39</v>
      </c>
      <c r="G3" s="14" t="s">
        <v>40</v>
      </c>
      <c r="H3" s="14" t="s">
        <v>41</v>
      </c>
      <c r="I3" s="14" t="s">
        <v>42</v>
      </c>
      <c r="J3" s="14" t="s">
        <v>43</v>
      </c>
    </row>
    <row r="4" spans="1:10" ht="17.399999999999999" x14ac:dyDescent="0.3">
      <c r="A4" s="1" t="s">
        <v>35</v>
      </c>
      <c r="B4" s="28" t="s">
        <v>36</v>
      </c>
      <c r="C4" s="12"/>
      <c r="D4" s="12"/>
      <c r="E4" s="12"/>
      <c r="F4" s="12"/>
      <c r="G4" s="12"/>
      <c r="H4" s="12"/>
      <c r="I4" s="12"/>
      <c r="J4" s="12"/>
    </row>
    <row r="6" spans="1:10" x14ac:dyDescent="0.25">
      <c r="B6" s="8" t="s">
        <v>37</v>
      </c>
      <c r="C6" s="8"/>
      <c r="D6" s="8"/>
      <c r="E6" s="8"/>
      <c r="F6" s="8"/>
      <c r="G6" s="29">
        <f>Assumptions!$K$8*Assumptions!$K$6*Assumptions!$K$7*Assumptions!$Q$18*365</f>
        <v>17520000</v>
      </c>
      <c r="H6" s="29">
        <f>G6*(1+Assumptions!$K$9)</f>
        <v>19272000</v>
      </c>
      <c r="I6" s="29">
        <f>H6*(1+Assumptions!$K$9)</f>
        <v>21199200</v>
      </c>
      <c r="J6" s="29">
        <f>I6*(1+Assumptions!$K$9)</f>
        <v>23319120.000000004</v>
      </c>
    </row>
    <row r="7" spans="1:10" x14ac:dyDescent="0.25">
      <c r="G7" s="18"/>
      <c r="H7" s="18"/>
      <c r="I7" s="18"/>
      <c r="J7" s="18"/>
    </row>
    <row r="8" spans="1:10" x14ac:dyDescent="0.25">
      <c r="B8" s="2" t="s">
        <v>44</v>
      </c>
      <c r="G8" s="18"/>
      <c r="H8" s="18"/>
      <c r="I8" s="18"/>
      <c r="J8" s="18"/>
    </row>
    <row r="9" spans="1:10" x14ac:dyDescent="0.25">
      <c r="B9" s="15" t="s">
        <v>45</v>
      </c>
      <c r="G9" s="18">
        <f>(Assumptions!$Q$16/Assumptions!$Q$6)*Assumptions!$K$17*Assumptions!$Q$18*365</f>
        <v>4299700</v>
      </c>
      <c r="H9" s="18">
        <f>G9*(1+Assumptions!$K$18)</f>
        <v>4944655</v>
      </c>
      <c r="I9" s="18">
        <f>H9*(1+Assumptions!$K$18)</f>
        <v>5686353.25</v>
      </c>
      <c r="J9" s="18">
        <f>I9*(1+Assumptions!$K$18)</f>
        <v>6539306.2374999998</v>
      </c>
    </row>
    <row r="10" spans="1:10" x14ac:dyDescent="0.25">
      <c r="B10" s="15" t="s">
        <v>46</v>
      </c>
      <c r="G10" s="18">
        <f>Assumptions!$E$6*Assumptions!$E$7</f>
        <v>750000</v>
      </c>
      <c r="H10" s="18">
        <f>G10*(1+Assumptions!$E$8)</f>
        <v>862499.99999999988</v>
      </c>
      <c r="I10" s="18">
        <f>H10*(1+Assumptions!$E$8)</f>
        <v>991874.99999999977</v>
      </c>
      <c r="J10" s="18">
        <f>I10*(1+Assumptions!$E$8)</f>
        <v>1140656.2499999995</v>
      </c>
    </row>
    <row r="11" spans="1:10" x14ac:dyDescent="0.25">
      <c r="B11" s="15" t="s">
        <v>47</v>
      </c>
      <c r="G11" s="18">
        <f>Assumptions!$Q$7*Assumptions!$Q$18*365</f>
        <v>730000</v>
      </c>
      <c r="H11" s="18">
        <f>G11*(1+Assumptions!$K$19)</f>
        <v>803000.00000000012</v>
      </c>
      <c r="I11" s="18">
        <f>H11*(1+Assumptions!$K$19)</f>
        <v>883300.00000000023</v>
      </c>
      <c r="J11" s="18">
        <f>I11*(1+Assumptions!$K$19)</f>
        <v>971630.00000000035</v>
      </c>
    </row>
    <row r="12" spans="1:10" x14ac:dyDescent="0.25">
      <c r="B12" s="15" t="s">
        <v>48</v>
      </c>
      <c r="G12" s="18">
        <f>Assumptions!$Q$8*Assumptions!$Q$18*365</f>
        <v>730000</v>
      </c>
      <c r="H12" s="18">
        <f>G12*(1+Assumptions!$K$19)</f>
        <v>803000.00000000012</v>
      </c>
      <c r="I12" s="18">
        <f>H12*(1+Assumptions!$K$19)</f>
        <v>883300.00000000023</v>
      </c>
      <c r="J12" s="18">
        <f>I12*(1+Assumptions!$K$19)</f>
        <v>971630.00000000035</v>
      </c>
    </row>
    <row r="13" spans="1:10" x14ac:dyDescent="0.25">
      <c r="B13" s="16" t="s">
        <v>49</v>
      </c>
      <c r="C13" s="4"/>
      <c r="D13" s="4"/>
      <c r="E13" s="4"/>
      <c r="F13" s="4"/>
      <c r="G13" s="17">
        <f>Assumptions!$Q$9*Assumptions!$Q$18*365</f>
        <v>730000</v>
      </c>
      <c r="H13" s="17">
        <f>Assumptions!$Q$9*Assumptions!$Q$18*365</f>
        <v>730000</v>
      </c>
      <c r="I13" s="17">
        <f>Assumptions!$Q$9*Assumptions!$Q$18*365</f>
        <v>730000</v>
      </c>
      <c r="J13" s="17">
        <f>Assumptions!$Q$9*Assumptions!$Q$18*365</f>
        <v>730000</v>
      </c>
    </row>
    <row r="14" spans="1:10" x14ac:dyDescent="0.25">
      <c r="B14" s="2" t="s">
        <v>50</v>
      </c>
      <c r="G14" s="18">
        <f>SUM(G9:G13)</f>
        <v>7239700</v>
      </c>
      <c r="H14" s="18">
        <f t="shared" ref="H14:J14" si="0">SUM(H9:H13)</f>
        <v>8143155</v>
      </c>
      <c r="I14" s="18">
        <f t="shared" si="0"/>
        <v>9174828.25</v>
      </c>
      <c r="J14" s="18">
        <f t="shared" si="0"/>
        <v>10353222.487499999</v>
      </c>
    </row>
    <row r="15" spans="1:10" x14ac:dyDescent="0.25">
      <c r="G15" s="18"/>
      <c r="H15" s="18"/>
      <c r="I15" s="18"/>
      <c r="J15" s="18"/>
    </row>
    <row r="16" spans="1:10" x14ac:dyDescent="0.25">
      <c r="B16" s="19" t="s">
        <v>51</v>
      </c>
      <c r="C16" s="19"/>
      <c r="D16" s="19"/>
      <c r="E16" s="19"/>
      <c r="F16" s="19"/>
      <c r="G16" s="20">
        <f>G6-G14</f>
        <v>10280300</v>
      </c>
      <c r="H16" s="20">
        <f>H6-H14</f>
        <v>11128845</v>
      </c>
      <c r="I16" s="20">
        <f t="shared" ref="I16:J16" si="1">I6-I14</f>
        <v>12024371.75</v>
      </c>
      <c r="J16" s="20">
        <f t="shared" si="1"/>
        <v>12965897.512500005</v>
      </c>
    </row>
    <row r="17" spans="1:10" x14ac:dyDescent="0.25">
      <c r="G17" s="18"/>
      <c r="H17" s="18"/>
      <c r="I17" s="18"/>
      <c r="J17" s="18"/>
    </row>
    <row r="18" spans="1:10" x14ac:dyDescent="0.25">
      <c r="B18" t="s">
        <v>52</v>
      </c>
      <c r="G18" s="18">
        <f>Assumptions!$E$6*Assumptions!$E$10</f>
        <v>1875000</v>
      </c>
      <c r="H18" s="18">
        <f>Assumptions!$E$6*Assumptions!$E$10</f>
        <v>1875000</v>
      </c>
      <c r="I18" s="18">
        <f>Assumptions!$E$6*Assumptions!$E$10</f>
        <v>1875000</v>
      </c>
      <c r="J18" s="18">
        <f>Assumptions!$E$6*Assumptions!$E$10</f>
        <v>1875000</v>
      </c>
    </row>
    <row r="19" spans="1:10" x14ac:dyDescent="0.25">
      <c r="B19" t="s">
        <v>53</v>
      </c>
      <c r="G19" s="18">
        <f>Debt!E5</f>
        <v>843750</v>
      </c>
      <c r="H19" s="18">
        <f>Debt!F5</f>
        <v>674776.10959521367</v>
      </c>
      <c r="I19" s="18">
        <f>Debt!G5</f>
        <v>480456.13562970934</v>
      </c>
      <c r="J19" s="18">
        <f>Debt!H5</f>
        <v>256988.1655693794</v>
      </c>
    </row>
    <row r="20" spans="1:10" x14ac:dyDescent="0.25">
      <c r="B20" s="19" t="s">
        <v>61</v>
      </c>
      <c r="C20" s="19"/>
      <c r="D20" s="19"/>
      <c r="E20" s="19"/>
      <c r="F20" s="19"/>
      <c r="G20" s="20">
        <f>G16-G18-G19</f>
        <v>7561550</v>
      </c>
      <c r="H20" s="20">
        <f t="shared" ref="H20:J20" si="2">H16-H18-H19</f>
        <v>8579068.8904047869</v>
      </c>
      <c r="I20" s="20">
        <f t="shared" si="2"/>
        <v>9668915.6143702902</v>
      </c>
      <c r="J20" s="20">
        <f t="shared" si="2"/>
        <v>10833909.346930625</v>
      </c>
    </row>
    <row r="21" spans="1:10" x14ac:dyDescent="0.25">
      <c r="B21" t="s">
        <v>59</v>
      </c>
      <c r="G21" s="18">
        <f>G20*Assumptions!$K$15</f>
        <v>2495311.5</v>
      </c>
      <c r="H21" s="18">
        <f>H20*Assumptions!$K$15</f>
        <v>2831092.7338335798</v>
      </c>
      <c r="I21" s="18">
        <f>I20*Assumptions!$K$15</f>
        <v>3190742.1527421959</v>
      </c>
      <c r="J21" s="18">
        <f>J20*Assumptions!$K$15</f>
        <v>3575190.0844871062</v>
      </c>
    </row>
    <row r="22" spans="1:10" ht="14.4" thickBot="1" x14ac:dyDescent="0.3">
      <c r="B22" s="25" t="s">
        <v>60</v>
      </c>
      <c r="C22" s="25"/>
      <c r="D22" s="25"/>
      <c r="E22" s="25"/>
      <c r="F22" s="25"/>
      <c r="G22" s="26">
        <f>G20-G21</f>
        <v>5066238.5</v>
      </c>
      <c r="H22" s="26">
        <f t="shared" ref="H22:J22" si="3">H20-H21</f>
        <v>5747976.1565712076</v>
      </c>
      <c r="I22" s="26">
        <f t="shared" si="3"/>
        <v>6478173.4616280943</v>
      </c>
      <c r="J22" s="26">
        <f t="shared" si="3"/>
        <v>7258719.2624435183</v>
      </c>
    </row>
    <row r="23" spans="1:10" ht="14.4" thickTop="1" x14ac:dyDescent="0.25">
      <c r="G23" s="18"/>
      <c r="H23" s="18"/>
      <c r="I23" s="18"/>
      <c r="J23" s="18"/>
    </row>
    <row r="24" spans="1:10" x14ac:dyDescent="0.25">
      <c r="G24" s="18"/>
      <c r="H24" s="18"/>
      <c r="I24" s="18"/>
      <c r="J24" s="18"/>
    </row>
    <row r="25" spans="1:10" ht="17.399999999999999" x14ac:dyDescent="0.3">
      <c r="A25" s="1" t="s">
        <v>35</v>
      </c>
      <c r="B25" s="28" t="s">
        <v>62</v>
      </c>
      <c r="C25" s="12"/>
      <c r="D25" s="12"/>
      <c r="E25" s="12"/>
      <c r="F25" s="12"/>
      <c r="G25" s="12"/>
      <c r="H25" s="12"/>
      <c r="I25" s="12"/>
      <c r="J25" s="12"/>
    </row>
    <row r="27" spans="1:10" ht="15.6" x14ac:dyDescent="0.3">
      <c r="B27" s="3" t="s">
        <v>63</v>
      </c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2" t="s">
        <v>64</v>
      </c>
    </row>
    <row r="29" spans="1:10" x14ac:dyDescent="0.25">
      <c r="B29" t="s">
        <v>9</v>
      </c>
      <c r="F29" s="18">
        <f>Assumptions!$E$6*Assumptions!$E$16</f>
        <v>1875000</v>
      </c>
      <c r="G29" s="18">
        <f>Assumptions!$E$6*Assumptions!$E$16</f>
        <v>1875000</v>
      </c>
      <c r="H29" s="18">
        <f>Assumptions!$E$6*Assumptions!$E$16</f>
        <v>1875000</v>
      </c>
      <c r="I29" s="18">
        <f>Assumptions!$E$6*Assumptions!$E$16</f>
        <v>1875000</v>
      </c>
      <c r="J29" s="18">
        <f>Assumptions!$E$6*Assumptions!$E$16</f>
        <v>1875000</v>
      </c>
    </row>
    <row r="30" spans="1:10" x14ac:dyDescent="0.25">
      <c r="B30" t="s">
        <v>68</v>
      </c>
      <c r="F30" s="18">
        <f>E30+F22</f>
        <v>0</v>
      </c>
      <c r="G30" s="18">
        <f t="shared" ref="G30:J30" si="4">F30+G22</f>
        <v>5066238.5</v>
      </c>
      <c r="H30" s="18">
        <f t="shared" si="4"/>
        <v>10814214.656571208</v>
      </c>
      <c r="I30" s="18">
        <f t="shared" si="4"/>
        <v>17292388.118199304</v>
      </c>
      <c r="J30" s="18">
        <f t="shared" si="4"/>
        <v>24551107.380642824</v>
      </c>
    </row>
    <row r="31" spans="1:10" x14ac:dyDescent="0.25">
      <c r="B31" s="19" t="s">
        <v>65</v>
      </c>
      <c r="C31" s="19"/>
      <c r="D31" s="19"/>
      <c r="E31" s="19"/>
      <c r="F31" s="20">
        <f>SUM(F29:F30)</f>
        <v>1875000</v>
      </c>
      <c r="G31" s="20">
        <f t="shared" ref="G31:J31" si="5">SUM(G29:G30)</f>
        <v>6941238.5</v>
      </c>
      <c r="H31" s="20">
        <f t="shared" si="5"/>
        <v>12689214.656571208</v>
      </c>
      <c r="I31" s="20">
        <f t="shared" si="5"/>
        <v>19167388.118199304</v>
      </c>
      <c r="J31" s="20">
        <f t="shared" si="5"/>
        <v>26426107.380642824</v>
      </c>
    </row>
    <row r="32" spans="1:10" x14ac:dyDescent="0.25">
      <c r="B32" t="s">
        <v>8</v>
      </c>
      <c r="F32" s="18">
        <f>Debt!D7</f>
        <v>5625000</v>
      </c>
      <c r="G32" s="18">
        <f>Debt!E7</f>
        <v>4498507.3973014243</v>
      </c>
      <c r="H32" s="18">
        <f>Debt!F7</f>
        <v>3203040.9041980626</v>
      </c>
      <c r="I32" s="18">
        <f>Debt!G7</f>
        <v>1713254.437129196</v>
      </c>
      <c r="J32" s="18">
        <f>Debt!H7</f>
        <v>0</v>
      </c>
    </row>
    <row r="33" spans="2:10" x14ac:dyDescent="0.25">
      <c r="F33" s="18"/>
      <c r="G33" s="18"/>
      <c r="H33" s="18"/>
      <c r="I33" s="18"/>
      <c r="J33" s="18"/>
    </row>
    <row r="34" spans="2:10" ht="14.4" thickBot="1" x14ac:dyDescent="0.3">
      <c r="B34" s="25" t="s">
        <v>66</v>
      </c>
      <c r="C34" s="25"/>
      <c r="D34" s="25"/>
      <c r="E34" s="25"/>
      <c r="F34" s="26">
        <f>F31+F32</f>
        <v>7500000</v>
      </c>
      <c r="G34" s="26">
        <f t="shared" ref="G34:J34" si="6">G31+G32</f>
        <v>11439745.897301424</v>
      </c>
      <c r="H34" s="26">
        <f t="shared" si="6"/>
        <v>15892255.560769271</v>
      </c>
      <c r="I34" s="26">
        <f t="shared" si="6"/>
        <v>20880642.5553285</v>
      </c>
      <c r="J34" s="26">
        <f t="shared" si="6"/>
        <v>26426107.380642824</v>
      </c>
    </row>
    <row r="35" spans="2:10" ht="14.4" thickTop="1" x14ac:dyDescent="0.25">
      <c r="F35" s="18"/>
      <c r="G35" s="18"/>
      <c r="H35" s="18"/>
      <c r="I35" s="18"/>
      <c r="J35" s="18"/>
    </row>
    <row r="36" spans="2:10" x14ac:dyDescent="0.25">
      <c r="F36" s="18"/>
      <c r="G36" s="18"/>
      <c r="H36" s="18"/>
      <c r="I36" s="18"/>
      <c r="J36" s="18"/>
    </row>
    <row r="37" spans="2:10" ht="15.6" x14ac:dyDescent="0.3">
      <c r="B37" s="3" t="s">
        <v>67</v>
      </c>
      <c r="C37" s="4"/>
      <c r="D37" s="4"/>
      <c r="E37" s="4"/>
      <c r="F37" s="17"/>
      <c r="G37" s="17"/>
      <c r="H37" s="17"/>
      <c r="I37" s="17"/>
      <c r="J37" s="17"/>
    </row>
    <row r="38" spans="2:10" x14ac:dyDescent="0.25">
      <c r="B38" s="2" t="s">
        <v>70</v>
      </c>
      <c r="F38" s="18"/>
      <c r="G38" s="18"/>
      <c r="H38" s="18"/>
      <c r="I38" s="18"/>
      <c r="J38" s="18"/>
    </row>
    <row r="39" spans="2:10" x14ac:dyDescent="0.25">
      <c r="B39" t="s">
        <v>69</v>
      </c>
      <c r="F39" s="18">
        <f>Assumptions!$E$6</f>
        <v>7500000</v>
      </c>
      <c r="G39" s="18">
        <f>Assumptions!$E$6</f>
        <v>7500000</v>
      </c>
      <c r="H39" s="18">
        <f>Assumptions!$E$6</f>
        <v>7500000</v>
      </c>
      <c r="I39" s="18">
        <f>Assumptions!$E$6</f>
        <v>7500000</v>
      </c>
      <c r="J39" s="18">
        <f>Assumptions!$E$6</f>
        <v>7500000</v>
      </c>
    </row>
    <row r="40" spans="2:10" x14ac:dyDescent="0.25">
      <c r="B40" t="s">
        <v>71</v>
      </c>
      <c r="F40" s="18">
        <f>E40+F18</f>
        <v>0</v>
      </c>
      <c r="G40" s="18">
        <f t="shared" ref="G40:J40" si="7">F40+G18</f>
        <v>1875000</v>
      </c>
      <c r="H40" s="18">
        <f t="shared" si="7"/>
        <v>3750000</v>
      </c>
      <c r="I40" s="18">
        <f t="shared" si="7"/>
        <v>5625000</v>
      </c>
      <c r="J40" s="18">
        <f t="shared" si="7"/>
        <v>7500000</v>
      </c>
    </row>
    <row r="41" spans="2:10" x14ac:dyDescent="0.25">
      <c r="B41" s="23" t="s">
        <v>72</v>
      </c>
      <c r="C41" s="23"/>
      <c r="D41" s="23"/>
      <c r="E41" s="23"/>
      <c r="F41" s="24">
        <f>F39-F40</f>
        <v>7500000</v>
      </c>
      <c r="G41" s="24">
        <f t="shared" ref="G41:J41" si="8">G39-G40</f>
        <v>5625000</v>
      </c>
      <c r="H41" s="24">
        <f t="shared" si="8"/>
        <v>3750000</v>
      </c>
      <c r="I41" s="24">
        <f t="shared" si="8"/>
        <v>1875000</v>
      </c>
      <c r="J41" s="24">
        <f t="shared" si="8"/>
        <v>0</v>
      </c>
    </row>
    <row r="42" spans="2:10" x14ac:dyDescent="0.25">
      <c r="F42" s="18"/>
      <c r="G42" s="18"/>
      <c r="H42" s="18"/>
      <c r="I42" s="18"/>
      <c r="J42" s="18"/>
    </row>
    <row r="43" spans="2:10" x14ac:dyDescent="0.25">
      <c r="B43" t="s">
        <v>73</v>
      </c>
      <c r="F43" s="18">
        <f>F70</f>
        <v>0</v>
      </c>
      <c r="G43" s="18">
        <f t="shared" ref="G43:J43" si="9">G70</f>
        <v>5814745.8973014243</v>
      </c>
      <c r="H43" s="18">
        <f t="shared" si="9"/>
        <v>12142255.560769271</v>
      </c>
      <c r="I43" s="18">
        <f t="shared" si="9"/>
        <v>19005642.5553285</v>
      </c>
      <c r="J43" s="18">
        <f t="shared" si="9"/>
        <v>26426107.380642824</v>
      </c>
    </row>
    <row r="44" spans="2:10" ht="14.4" thickBot="1" x14ac:dyDescent="0.3">
      <c r="B44" s="25" t="s">
        <v>74</v>
      </c>
      <c r="C44" s="25"/>
      <c r="D44" s="25"/>
      <c r="E44" s="25"/>
      <c r="F44" s="26">
        <f>F41+F43</f>
        <v>7500000</v>
      </c>
      <c r="G44" s="26">
        <f t="shared" ref="G44:J44" si="10">G41+G43</f>
        <v>11439745.897301424</v>
      </c>
      <c r="H44" s="26">
        <f t="shared" si="10"/>
        <v>15892255.560769271</v>
      </c>
      <c r="I44" s="26">
        <f t="shared" si="10"/>
        <v>20880642.5553285</v>
      </c>
      <c r="J44" s="26">
        <f t="shared" si="10"/>
        <v>26426107.380642824</v>
      </c>
    </row>
    <row r="45" spans="2:10" ht="14.4" thickTop="1" x14ac:dyDescent="0.25">
      <c r="F45" s="18"/>
      <c r="G45" s="18"/>
      <c r="H45" s="18"/>
      <c r="I45" s="18"/>
      <c r="J45" s="18"/>
    </row>
    <row r="46" spans="2:10" x14ac:dyDescent="0.25">
      <c r="B46" t="s">
        <v>75</v>
      </c>
      <c r="F46" s="18">
        <f>F34-F44</f>
        <v>0</v>
      </c>
      <c r="G46" s="18">
        <f t="shared" ref="G46:J46" si="11">G34-G44</f>
        <v>0</v>
      </c>
      <c r="H46" s="18">
        <f t="shared" si="11"/>
        <v>0</v>
      </c>
      <c r="I46" s="18">
        <f t="shared" si="11"/>
        <v>0</v>
      </c>
      <c r="J46" s="18">
        <f t="shared" si="11"/>
        <v>0</v>
      </c>
    </row>
    <row r="47" spans="2:10" x14ac:dyDescent="0.25">
      <c r="F47" s="18"/>
      <c r="G47" s="18"/>
      <c r="H47" s="18"/>
      <c r="I47" s="18"/>
      <c r="J47" s="18"/>
    </row>
    <row r="49" spans="1:10" ht="17.399999999999999" x14ac:dyDescent="0.3">
      <c r="A49" s="1" t="s">
        <v>35</v>
      </c>
      <c r="B49" s="28" t="s">
        <v>76</v>
      </c>
      <c r="C49" s="12"/>
      <c r="D49" s="12"/>
      <c r="E49" s="12"/>
      <c r="F49" s="12"/>
      <c r="G49" s="12"/>
      <c r="H49" s="12"/>
      <c r="I49" s="12"/>
      <c r="J49" s="12"/>
    </row>
    <row r="51" spans="1:10" x14ac:dyDescent="0.25">
      <c r="B51" s="8" t="s">
        <v>77</v>
      </c>
      <c r="C51" s="4"/>
      <c r="D51" s="4"/>
      <c r="E51" s="4"/>
      <c r="F51" s="4"/>
      <c r="G51" s="4"/>
      <c r="H51" s="4"/>
      <c r="I51" s="4"/>
      <c r="J51" s="4"/>
    </row>
    <row r="52" spans="1:10" x14ac:dyDescent="0.25">
      <c r="B52" t="s">
        <v>78</v>
      </c>
      <c r="G52" s="18">
        <f>G22</f>
        <v>5066238.5</v>
      </c>
      <c r="H52" s="18">
        <f t="shared" ref="H52:J52" si="12">H22</f>
        <v>5747976.1565712076</v>
      </c>
      <c r="I52" s="18">
        <f t="shared" si="12"/>
        <v>6478173.4616280943</v>
      </c>
      <c r="J52" s="18">
        <f t="shared" si="12"/>
        <v>7258719.2624435183</v>
      </c>
    </row>
    <row r="53" spans="1:10" x14ac:dyDescent="0.25">
      <c r="B53" t="s">
        <v>79</v>
      </c>
      <c r="G53" s="18">
        <f>G18</f>
        <v>1875000</v>
      </c>
      <c r="H53" s="18">
        <f t="shared" ref="H53:J53" si="13">H18</f>
        <v>1875000</v>
      </c>
      <c r="I53" s="18">
        <f t="shared" si="13"/>
        <v>1875000</v>
      </c>
      <c r="J53" s="18">
        <f t="shared" si="13"/>
        <v>1875000</v>
      </c>
    </row>
    <row r="54" spans="1:10" x14ac:dyDescent="0.25">
      <c r="G54" s="18"/>
      <c r="H54" s="18"/>
      <c r="I54" s="18"/>
      <c r="J54" s="18"/>
    </row>
    <row r="55" spans="1:10" ht="14.4" thickBot="1" x14ac:dyDescent="0.3">
      <c r="B55" s="30" t="s">
        <v>80</v>
      </c>
      <c r="C55" s="21"/>
      <c r="D55" s="21"/>
      <c r="E55" s="21"/>
      <c r="F55" s="21"/>
      <c r="G55" s="22">
        <f>SUM(G52:G53)</f>
        <v>6941238.5</v>
      </c>
      <c r="H55" s="22">
        <f t="shared" ref="H55:J55" si="14">SUM(H52:H53)</f>
        <v>7622976.1565712076</v>
      </c>
      <c r="I55" s="22">
        <f t="shared" si="14"/>
        <v>8353173.4616280943</v>
      </c>
      <c r="J55" s="22">
        <f t="shared" si="14"/>
        <v>9133719.2624435183</v>
      </c>
    </row>
    <row r="56" spans="1:10" ht="14.4" thickTop="1" x14ac:dyDescent="0.25"/>
    <row r="57" spans="1:10" x14ac:dyDescent="0.25">
      <c r="B57" s="8" t="s">
        <v>81</v>
      </c>
      <c r="C57" s="4"/>
      <c r="D57" s="4"/>
      <c r="E57" s="4"/>
      <c r="F57" s="4"/>
      <c r="G57" s="4"/>
      <c r="H57" s="4"/>
      <c r="I57" s="4"/>
      <c r="J57" s="4"/>
    </row>
    <row r="58" spans="1:10" x14ac:dyDescent="0.25">
      <c r="B58" t="s">
        <v>82</v>
      </c>
      <c r="F58" s="18">
        <f>E39-F39</f>
        <v>-7500000</v>
      </c>
      <c r="G58" s="18">
        <f t="shared" ref="G58:J58" si="15">F39-G39</f>
        <v>0</v>
      </c>
      <c r="H58" s="18">
        <f t="shared" si="15"/>
        <v>0</v>
      </c>
      <c r="I58" s="18">
        <f t="shared" si="15"/>
        <v>0</v>
      </c>
      <c r="J58" s="18">
        <f t="shared" si="15"/>
        <v>0</v>
      </c>
    </row>
    <row r="60" spans="1:10" ht="14.4" thickBot="1" x14ac:dyDescent="0.3">
      <c r="B60" s="30" t="s">
        <v>83</v>
      </c>
      <c r="C60" s="21"/>
      <c r="D60" s="21"/>
      <c r="E60" s="21"/>
      <c r="F60" s="22">
        <f>F58</f>
        <v>-7500000</v>
      </c>
      <c r="G60" s="22">
        <f t="shared" ref="G60:J60" si="16">G58</f>
        <v>0</v>
      </c>
      <c r="H60" s="22">
        <f t="shared" si="16"/>
        <v>0</v>
      </c>
      <c r="I60" s="22">
        <f t="shared" si="16"/>
        <v>0</v>
      </c>
      <c r="J60" s="22">
        <f t="shared" si="16"/>
        <v>0</v>
      </c>
    </row>
    <row r="61" spans="1:10" ht="14.4" thickTop="1" x14ac:dyDescent="0.25"/>
    <row r="62" spans="1:10" x14ac:dyDescent="0.25">
      <c r="B62" s="8" t="s">
        <v>84</v>
      </c>
      <c r="C62" s="4"/>
      <c r="D62" s="4"/>
      <c r="E62" s="4"/>
      <c r="F62" s="4"/>
      <c r="G62" s="4"/>
      <c r="H62" s="4"/>
      <c r="I62" s="4"/>
      <c r="J62" s="4"/>
    </row>
    <row r="63" spans="1:10" x14ac:dyDescent="0.25">
      <c r="B63" t="s">
        <v>85</v>
      </c>
      <c r="F63" s="18">
        <f>F32-E32</f>
        <v>5625000</v>
      </c>
      <c r="G63" s="18">
        <f t="shared" ref="G63:J63" si="17">G32-F32</f>
        <v>-1126492.6026985757</v>
      </c>
      <c r="H63" s="18">
        <f t="shared" si="17"/>
        <v>-1295466.4931033617</v>
      </c>
      <c r="I63" s="18">
        <f t="shared" si="17"/>
        <v>-1489786.4670688666</v>
      </c>
      <c r="J63" s="18">
        <f t="shared" si="17"/>
        <v>-1713254.437129196</v>
      </c>
    </row>
    <row r="64" spans="1:10" x14ac:dyDescent="0.25">
      <c r="B64" s="31" t="s">
        <v>9</v>
      </c>
      <c r="F64" s="18">
        <f>F29-E29</f>
        <v>1875000</v>
      </c>
      <c r="G64" s="18">
        <f t="shared" ref="G64:J64" si="18">G29-F29</f>
        <v>0</v>
      </c>
      <c r="H64" s="18">
        <f t="shared" si="18"/>
        <v>0</v>
      </c>
      <c r="I64" s="18">
        <f t="shared" si="18"/>
        <v>0</v>
      </c>
      <c r="J64" s="18">
        <f t="shared" si="18"/>
        <v>0</v>
      </c>
    </row>
    <row r="66" spans="2:10" ht="14.4" thickBot="1" x14ac:dyDescent="0.3">
      <c r="B66" s="30" t="s">
        <v>86</v>
      </c>
      <c r="C66" s="21"/>
      <c r="D66" s="21"/>
      <c r="E66" s="21"/>
      <c r="F66" s="22">
        <f>SUM(F63:F64)</f>
        <v>7500000</v>
      </c>
      <c r="G66" s="22">
        <f t="shared" ref="G66:J66" si="19">SUM(G63:G64)</f>
        <v>-1126492.6026985757</v>
      </c>
      <c r="H66" s="22">
        <f t="shared" si="19"/>
        <v>-1295466.4931033617</v>
      </c>
      <c r="I66" s="22">
        <f t="shared" si="19"/>
        <v>-1489786.4670688666</v>
      </c>
      <c r="J66" s="22">
        <f t="shared" si="19"/>
        <v>-1713254.437129196</v>
      </c>
    </row>
    <row r="67" spans="2:10" ht="14.4" thickTop="1" x14ac:dyDescent="0.25"/>
    <row r="68" spans="2:10" x14ac:dyDescent="0.25">
      <c r="B68" s="19" t="s">
        <v>87</v>
      </c>
      <c r="C68" s="23"/>
      <c r="D68" s="23"/>
      <c r="E68" s="23"/>
      <c r="F68" s="24">
        <f>SUM(F55,F60,F66)</f>
        <v>0</v>
      </c>
      <c r="G68" s="24">
        <f t="shared" ref="G68:J68" si="20">SUM(G55,G60,G66)</f>
        <v>5814745.8973014243</v>
      </c>
      <c r="H68" s="24">
        <f t="shared" si="20"/>
        <v>6327509.6634678459</v>
      </c>
      <c r="I68" s="24">
        <f t="shared" si="20"/>
        <v>6863386.9945592275</v>
      </c>
      <c r="J68" s="24">
        <f t="shared" si="20"/>
        <v>7420464.8253143225</v>
      </c>
    </row>
    <row r="69" spans="2:10" x14ac:dyDescent="0.25">
      <c r="B69" s="2" t="s">
        <v>89</v>
      </c>
      <c r="F69" s="18">
        <f>E70</f>
        <v>0</v>
      </c>
      <c r="G69" s="18">
        <f t="shared" ref="G69:J69" si="21">F70</f>
        <v>0</v>
      </c>
      <c r="H69" s="18">
        <f t="shared" si="21"/>
        <v>5814745.8973014243</v>
      </c>
      <c r="I69" s="18">
        <f t="shared" si="21"/>
        <v>12142255.560769271</v>
      </c>
      <c r="J69" s="18">
        <f t="shared" si="21"/>
        <v>19005642.5553285</v>
      </c>
    </row>
    <row r="70" spans="2:10" ht="14.4" thickBot="1" x14ac:dyDescent="0.3">
      <c r="B70" s="32" t="s">
        <v>88</v>
      </c>
      <c r="C70" s="33"/>
      <c r="D70" s="33"/>
      <c r="E70" s="33"/>
      <c r="F70" s="34">
        <f>F68+F69</f>
        <v>0</v>
      </c>
      <c r="G70" s="34">
        <f t="shared" ref="G70:J70" si="22">G68+G69</f>
        <v>5814745.8973014243</v>
      </c>
      <c r="H70" s="34">
        <f t="shared" si="22"/>
        <v>12142255.560769271</v>
      </c>
      <c r="I70" s="34">
        <f t="shared" si="22"/>
        <v>19005642.5553285</v>
      </c>
      <c r="J70" s="34">
        <f t="shared" si="22"/>
        <v>26426107.380642824</v>
      </c>
    </row>
    <row r="71" spans="2:10" ht="14.4" thickTop="1" x14ac:dyDescent="0.25"/>
  </sheetData>
  <mergeCells count="1">
    <mergeCell ref="B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015A-638D-4FEA-A6D2-C43CABDF7195}">
  <dimension ref="A2:H9"/>
  <sheetViews>
    <sheetView showGridLines="0" workbookViewId="0">
      <selection activeCell="F28" sqref="F28"/>
    </sheetView>
  </sheetViews>
  <sheetFormatPr defaultRowHeight="13.8" x14ac:dyDescent="0.25"/>
  <cols>
    <col min="1" max="1" width="1.88671875" style="1" customWidth="1"/>
    <col min="4" max="4" width="10.6640625" bestFit="1" customWidth="1"/>
    <col min="5" max="8" width="14" bestFit="1" customWidth="1"/>
  </cols>
  <sheetData>
    <row r="2" spans="2:8" ht="22.8" x14ac:dyDescent="0.4">
      <c r="B2" s="84" t="s">
        <v>0</v>
      </c>
      <c r="C2" s="84"/>
      <c r="D2" s="84"/>
      <c r="E2" s="84"/>
      <c r="F2" s="84"/>
      <c r="G2" s="84"/>
      <c r="H2" s="84"/>
    </row>
    <row r="3" spans="2:8" x14ac:dyDescent="0.25">
      <c r="B3" s="13" t="s">
        <v>54</v>
      </c>
      <c r="C3" s="13"/>
      <c r="D3" s="14" t="s">
        <v>39</v>
      </c>
      <c r="E3" s="14" t="s">
        <v>40</v>
      </c>
      <c r="F3" s="14" t="s">
        <v>41</v>
      </c>
      <c r="G3" s="14" t="s">
        <v>42</v>
      </c>
      <c r="H3" s="14" t="s">
        <v>43</v>
      </c>
    </row>
    <row r="4" spans="2:8" x14ac:dyDescent="0.25">
      <c r="B4" t="s">
        <v>55</v>
      </c>
      <c r="D4" s="18"/>
      <c r="E4" s="18">
        <f>D7</f>
        <v>5625000</v>
      </c>
      <c r="F4" s="18">
        <f t="shared" ref="F4:H4" si="0">E7</f>
        <v>4498507.3973014243</v>
      </c>
      <c r="G4" s="18">
        <f t="shared" si="0"/>
        <v>3203040.9041980626</v>
      </c>
      <c r="H4" s="18">
        <f t="shared" si="0"/>
        <v>1713254.437129196</v>
      </c>
    </row>
    <row r="5" spans="2:8" x14ac:dyDescent="0.25">
      <c r="B5" t="s">
        <v>53</v>
      </c>
      <c r="D5" s="18"/>
      <c r="E5" s="18">
        <f>E4*Assumptions!$E$17</f>
        <v>843750</v>
      </c>
      <c r="F5" s="18">
        <f>F4*Assumptions!$E$17</f>
        <v>674776.10959521367</v>
      </c>
      <c r="G5" s="18">
        <f>G4*Assumptions!$E$17</f>
        <v>480456.13562970934</v>
      </c>
      <c r="H5" s="18">
        <f>H4*Assumptions!$E$17</f>
        <v>256988.1655693794</v>
      </c>
    </row>
    <row r="6" spans="2:8" x14ac:dyDescent="0.25">
      <c r="B6" t="s">
        <v>56</v>
      </c>
      <c r="D6" s="18"/>
      <c r="E6" s="18">
        <f>PMT(Assumptions!$E$17,4,Debt!E4,,0)</f>
        <v>-1970242.6026985757</v>
      </c>
      <c r="F6" s="18">
        <f>PMT(Assumptions!$E$17,3,Debt!F4,,0)</f>
        <v>-1970242.6026985759</v>
      </c>
      <c r="G6" s="18">
        <f>PMT(Assumptions!$E$17,2,Debt!G4,,0)</f>
        <v>-1970242.6026985759</v>
      </c>
      <c r="H6" s="18">
        <f>PMT(Assumptions!$E$17,1,Debt!H4,,0)</f>
        <v>-1970242.6026985759</v>
      </c>
    </row>
    <row r="7" spans="2:8" ht="14.4" thickBot="1" x14ac:dyDescent="0.3">
      <c r="B7" s="21" t="s">
        <v>57</v>
      </c>
      <c r="C7" s="21"/>
      <c r="D7" s="22">
        <f>Assumptions!E6*Assumptions!E15</f>
        <v>5625000</v>
      </c>
      <c r="E7" s="22">
        <f>SUM(E4:E6)</f>
        <v>4498507.3973014243</v>
      </c>
      <c r="F7" s="22">
        <f t="shared" ref="F7:H7" si="1">SUM(F4:F6)</f>
        <v>3203040.9041980626</v>
      </c>
      <c r="G7" s="22">
        <f t="shared" si="1"/>
        <v>1713254.437129196</v>
      </c>
      <c r="H7" s="22">
        <f t="shared" si="1"/>
        <v>0</v>
      </c>
    </row>
    <row r="8" spans="2:8" ht="14.4" thickTop="1" x14ac:dyDescent="0.25"/>
    <row r="9" spans="2:8" x14ac:dyDescent="0.25">
      <c r="B9" s="19" t="s">
        <v>58</v>
      </c>
      <c r="C9" s="19"/>
      <c r="D9" s="19"/>
      <c r="E9" s="20">
        <f>-E6-E5</f>
        <v>1126492.6026985757</v>
      </c>
      <c r="F9" s="20">
        <f t="shared" ref="F9:H9" si="2">-F6-F5</f>
        <v>1295466.4931033622</v>
      </c>
      <c r="G9" s="20">
        <f t="shared" si="2"/>
        <v>1489786.4670688666</v>
      </c>
      <c r="H9" s="20">
        <f t="shared" si="2"/>
        <v>1713254.4371291965</v>
      </c>
    </row>
  </sheetData>
  <mergeCells count="1">
    <mergeCell ref="B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B6AE-1AFF-4D42-A651-4AFA84D1630A}">
  <dimension ref="A2:T30"/>
  <sheetViews>
    <sheetView showGridLines="0" topLeftCell="A2" workbookViewId="0">
      <pane xSplit="3" ySplit="1" topLeftCell="D3" activePane="bottomRight" state="frozen"/>
      <selection activeCell="A2" sqref="A2"/>
      <selection pane="topRight" activeCell="D2" sqref="D2"/>
      <selection pane="bottomLeft" activeCell="A4" sqref="A4"/>
      <selection pane="bottomRight" activeCell="E21" sqref="E21"/>
    </sheetView>
  </sheetViews>
  <sheetFormatPr defaultRowHeight="13.8" x14ac:dyDescent="0.25"/>
  <cols>
    <col min="1" max="1" width="1.88671875" style="1" customWidth="1"/>
    <col min="2" max="2" width="22.21875" customWidth="1"/>
    <col min="4" max="4" width="14.88671875" bestFit="1" customWidth="1"/>
    <col min="5" max="5" width="10.6640625" bestFit="1" customWidth="1"/>
    <col min="6" max="6" width="20.44140625" bestFit="1" customWidth="1"/>
    <col min="7" max="8" width="10.6640625" bestFit="1" customWidth="1"/>
    <col min="14" max="14" width="12.21875" bestFit="1" customWidth="1"/>
    <col min="15" max="18" width="12" bestFit="1" customWidth="1"/>
  </cols>
  <sheetData>
    <row r="2" spans="1:20" ht="27.6" customHeight="1" x14ac:dyDescent="0.4">
      <c r="B2" s="84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</row>
    <row r="3" spans="1:20" s="79" customFormat="1" ht="12.6" customHeight="1" x14ac:dyDescent="0.4">
      <c r="A3" s="75"/>
      <c r="B3" s="76"/>
      <c r="C3" s="77"/>
      <c r="D3" s="77"/>
      <c r="E3" s="77"/>
      <c r="F3" s="77"/>
      <c r="G3" s="78"/>
    </row>
    <row r="4" spans="1:20" x14ac:dyDescent="0.25">
      <c r="B4" s="13" t="s">
        <v>54</v>
      </c>
      <c r="C4" s="13"/>
      <c r="D4" s="14" t="s">
        <v>39</v>
      </c>
      <c r="E4" s="14" t="s">
        <v>40</v>
      </c>
      <c r="F4" s="14" t="s">
        <v>41</v>
      </c>
      <c r="G4" s="14" t="s">
        <v>42</v>
      </c>
      <c r="H4" s="14" t="s">
        <v>43</v>
      </c>
      <c r="K4" s="13" t="s">
        <v>54</v>
      </c>
      <c r="L4" s="13"/>
      <c r="M4" s="13"/>
      <c r="N4" s="14" t="s">
        <v>39</v>
      </c>
      <c r="O4" s="14" t="s">
        <v>40</v>
      </c>
      <c r="P4" s="14" t="s">
        <v>41</v>
      </c>
      <c r="Q4" s="14" t="s">
        <v>42</v>
      </c>
      <c r="R4" s="14" t="s">
        <v>43</v>
      </c>
    </row>
    <row r="5" spans="1:20" x14ac:dyDescent="0.25">
      <c r="A5" s="1" t="s">
        <v>35</v>
      </c>
      <c r="B5" s="8" t="s">
        <v>90</v>
      </c>
      <c r="C5" s="4"/>
      <c r="D5" s="4"/>
      <c r="E5" s="4"/>
      <c r="F5" s="4"/>
      <c r="G5" s="4"/>
      <c r="H5" s="4"/>
      <c r="K5" s="8" t="s">
        <v>99</v>
      </c>
      <c r="L5" s="8"/>
      <c r="M5" s="4"/>
      <c r="N5" s="4"/>
      <c r="O5" s="4"/>
      <c r="P5" s="4"/>
      <c r="Q5" s="4"/>
      <c r="R5" s="4"/>
    </row>
    <row r="6" spans="1:20" x14ac:dyDescent="0.25">
      <c r="B6" t="s">
        <v>91</v>
      </c>
      <c r="D6" s="50">
        <f>'Financial Statements'!F22</f>
        <v>0</v>
      </c>
      <c r="E6" s="50">
        <f>'Financial Statements'!G22</f>
        <v>5066238.5</v>
      </c>
      <c r="F6" s="50">
        <f>'Financial Statements'!H22</f>
        <v>5747976.1565712076</v>
      </c>
      <c r="G6" s="50">
        <f>'Financial Statements'!I22</f>
        <v>6478173.4616280943</v>
      </c>
      <c r="H6" s="50">
        <f>'Financial Statements'!J22</f>
        <v>7258719.2624435183</v>
      </c>
      <c r="K6" t="s">
        <v>91</v>
      </c>
      <c r="N6" s="50">
        <f>'Financial Statements'!F22</f>
        <v>0</v>
      </c>
      <c r="O6" s="50">
        <f>'Financial Statements'!G22</f>
        <v>5066238.5</v>
      </c>
      <c r="P6" s="50">
        <f>'Financial Statements'!H22</f>
        <v>5747976.1565712076</v>
      </c>
      <c r="Q6" s="50">
        <f>'Financial Statements'!I22</f>
        <v>6478173.4616280943</v>
      </c>
      <c r="R6" s="50">
        <f>'Financial Statements'!J22</f>
        <v>7258719.2624435183</v>
      </c>
      <c r="S6" s="50"/>
    </row>
    <row r="7" spans="1:20" x14ac:dyDescent="0.25">
      <c r="B7" t="str">
        <f>"+" &amp; "Depriciation"</f>
        <v>+Depriciation</v>
      </c>
      <c r="D7" s="50">
        <f>'Financial Statements'!F18</f>
        <v>0</v>
      </c>
      <c r="E7" s="50">
        <f>'Financial Statements'!G18</f>
        <v>1875000</v>
      </c>
      <c r="F7" s="50">
        <f>'Financial Statements'!H18</f>
        <v>1875000</v>
      </c>
      <c r="G7" s="50">
        <f>'Financial Statements'!I18</f>
        <v>1875000</v>
      </c>
      <c r="H7" s="50">
        <f>'Financial Statements'!J18</f>
        <v>1875000</v>
      </c>
      <c r="K7" t="str">
        <f>"+" &amp; "Depriciation"</f>
        <v>+Depriciation</v>
      </c>
      <c r="N7" s="50">
        <f>'Financial Statements'!F18</f>
        <v>0</v>
      </c>
      <c r="O7" s="50">
        <f>'Financial Statements'!G18</f>
        <v>1875000</v>
      </c>
      <c r="P7" s="50">
        <f>'Financial Statements'!H18</f>
        <v>1875000</v>
      </c>
      <c r="Q7" s="50">
        <f>'Financial Statements'!I18</f>
        <v>1875000</v>
      </c>
      <c r="R7" s="50">
        <f>'Financial Statements'!J18</f>
        <v>1875000</v>
      </c>
      <c r="S7" s="50"/>
    </row>
    <row r="8" spans="1:20" x14ac:dyDescent="0.25">
      <c r="B8" t="str">
        <f>"+" &amp; "Interest*(1- Tax Rate)"</f>
        <v>+Interest*(1- Tax Rate)</v>
      </c>
      <c r="D8" s="50">
        <f>'Financial Statements'!F19*(1-Assumptions!$K$15)</f>
        <v>0</v>
      </c>
      <c r="E8" s="50">
        <f>'Financial Statements'!G19*(1-Assumptions!$K$15)</f>
        <v>565312.49999999988</v>
      </c>
      <c r="F8" s="50">
        <f>'Financial Statements'!H19*(1-Assumptions!$K$15)</f>
        <v>452099.9934287931</v>
      </c>
      <c r="G8" s="50">
        <f>'Financial Statements'!I19*(1-Assumptions!$K$15)</f>
        <v>321905.61087190523</v>
      </c>
      <c r="H8" s="50">
        <f>'Financial Statements'!J19*(1-Assumptions!$K$15)</f>
        <v>172182.0709314842</v>
      </c>
      <c r="K8" s="80" t="str">
        <f>"-" &amp; "Capex"</f>
        <v>-Capex</v>
      </c>
      <c r="L8" s="80"/>
      <c r="N8" s="50">
        <f>'Financial Statements'!F58</f>
        <v>-7500000</v>
      </c>
      <c r="O8" s="50">
        <f>'Financial Statements'!G58</f>
        <v>0</v>
      </c>
      <c r="P8" s="50">
        <f>'Financial Statements'!H58</f>
        <v>0</v>
      </c>
      <c r="Q8" s="50">
        <f>'Financial Statements'!I58</f>
        <v>0</v>
      </c>
      <c r="R8" s="50">
        <f>'Financial Statements'!J58</f>
        <v>0</v>
      </c>
      <c r="S8" s="50"/>
    </row>
    <row r="9" spans="1:20" ht="14.4" x14ac:dyDescent="0.3">
      <c r="B9" s="4" t="str">
        <f>"-" &amp; "Capex"</f>
        <v>-Capex</v>
      </c>
      <c r="C9" s="4"/>
      <c r="D9" s="51">
        <f>'Financial Statements'!F58</f>
        <v>-7500000</v>
      </c>
      <c r="E9" s="51">
        <f>'Financial Statements'!G58</f>
        <v>0</v>
      </c>
      <c r="F9" s="51">
        <f>'Financial Statements'!H58</f>
        <v>0</v>
      </c>
      <c r="G9" s="51">
        <f>'Financial Statements'!I58</f>
        <v>0</v>
      </c>
      <c r="H9" s="51">
        <f>'Financial Statements'!J58</f>
        <v>0</v>
      </c>
      <c r="K9" s="80" t="str">
        <f>"+" &amp; "Net Borrowings"</f>
        <v>+Net Borrowings</v>
      </c>
      <c r="L9" s="80"/>
      <c r="M9" s="46"/>
      <c r="N9" s="50">
        <f>'Financial Statements'!F63</f>
        <v>5625000</v>
      </c>
      <c r="O9" s="50">
        <f>'Financial Statements'!G63</f>
        <v>-1126492.6026985757</v>
      </c>
      <c r="P9" s="50">
        <f>'Financial Statements'!H63</f>
        <v>-1295466.4931033617</v>
      </c>
      <c r="Q9" s="50">
        <f>'Financial Statements'!I63</f>
        <v>-1489786.4670688666</v>
      </c>
      <c r="R9" s="50">
        <f>'Financial Statements'!J63</f>
        <v>-1713254.437129196</v>
      </c>
      <c r="S9" s="50"/>
      <c r="T9" s="41"/>
    </row>
    <row r="10" spans="1:20" ht="14.4" thickBot="1" x14ac:dyDescent="0.3">
      <c r="B10" s="25" t="s">
        <v>92</v>
      </c>
      <c r="C10" s="25"/>
      <c r="D10" s="52">
        <f>SUM(D6:D9)</f>
        <v>-7500000</v>
      </c>
      <c r="E10" s="52">
        <f>SUM(E6:E9)</f>
        <v>7506551</v>
      </c>
      <c r="F10" s="52">
        <f t="shared" ref="F10:H10" si="0">SUM(F6:F9)</f>
        <v>8075076.1500000004</v>
      </c>
      <c r="G10" s="52">
        <f t="shared" si="0"/>
        <v>8675079.0724999998</v>
      </c>
      <c r="H10" s="52">
        <f t="shared" si="0"/>
        <v>9305901.3333750032</v>
      </c>
      <c r="K10" s="25" t="s">
        <v>100</v>
      </c>
      <c r="L10" s="25"/>
      <c r="M10" s="25"/>
      <c r="N10" s="52">
        <f>SUM(N6:N9)</f>
        <v>-1875000</v>
      </c>
      <c r="O10" s="52">
        <f>SUM(O6:O9)</f>
        <v>5814745.8973014243</v>
      </c>
      <c r="P10" s="52">
        <f t="shared" ref="P10:R10" si="1">SUM(P6:P9)</f>
        <v>6327509.6634678459</v>
      </c>
      <c r="Q10" s="52">
        <f t="shared" si="1"/>
        <v>6863386.9945592275</v>
      </c>
      <c r="R10" s="52">
        <f t="shared" si="1"/>
        <v>7420464.8253143225</v>
      </c>
      <c r="S10" s="81"/>
      <c r="T10" s="43"/>
    </row>
    <row r="11" spans="1:20" ht="14.4" thickTop="1" x14ac:dyDescent="0.25">
      <c r="M11" s="82"/>
      <c r="N11" s="54"/>
      <c r="O11" s="43"/>
      <c r="P11" s="43"/>
      <c r="Q11" s="43"/>
      <c r="R11" s="43"/>
      <c r="S11" s="43"/>
      <c r="T11" s="37"/>
    </row>
    <row r="12" spans="1:20" x14ac:dyDescent="0.25">
      <c r="M12" s="82"/>
      <c r="N12" s="48"/>
      <c r="O12" s="37"/>
      <c r="P12" s="37"/>
      <c r="Q12" s="37"/>
      <c r="R12" s="37"/>
      <c r="S12" s="37"/>
      <c r="T12" s="37"/>
    </row>
    <row r="13" spans="1:20" x14ac:dyDescent="0.25">
      <c r="M13" s="82"/>
      <c r="N13" s="48"/>
      <c r="O13" s="37"/>
      <c r="P13" s="37"/>
      <c r="Q13" s="37"/>
      <c r="R13" s="37"/>
      <c r="S13" s="37"/>
      <c r="T13" s="37"/>
    </row>
    <row r="14" spans="1:20" x14ac:dyDescent="0.25">
      <c r="A14" s="1" t="s">
        <v>35</v>
      </c>
      <c r="B14" s="8" t="s">
        <v>93</v>
      </c>
      <c r="C14" s="8"/>
      <c r="D14" s="8"/>
      <c r="E14" s="8"/>
      <c r="F14" s="8"/>
      <c r="G14" s="8"/>
      <c r="H14" s="8"/>
      <c r="K14" s="8" t="s">
        <v>93</v>
      </c>
      <c r="L14" s="8"/>
      <c r="M14" s="8"/>
      <c r="N14" s="8"/>
      <c r="O14" s="8"/>
      <c r="P14" s="8"/>
      <c r="Q14" s="8"/>
      <c r="R14" s="8"/>
      <c r="S14" s="37"/>
      <c r="T14" s="37"/>
    </row>
    <row r="15" spans="1:20" x14ac:dyDescent="0.25">
      <c r="S15" s="37"/>
      <c r="T15" s="37"/>
    </row>
    <row r="16" spans="1:20" x14ac:dyDescent="0.25">
      <c r="B16" t="s">
        <v>12</v>
      </c>
      <c r="D16" s="6">
        <f>Assumptions!$E$19</f>
        <v>0.2</v>
      </c>
      <c r="K16" t="s">
        <v>12</v>
      </c>
      <c r="N16" s="6">
        <f>Assumptions!$E$19</f>
        <v>0.2</v>
      </c>
    </row>
    <row r="17" spans="2:20" x14ac:dyDescent="0.25">
      <c r="B17" t="s">
        <v>94</v>
      </c>
      <c r="D17" s="18">
        <f>NPV(D16,E10:H10)+D10</f>
        <v>13871250.966616031</v>
      </c>
      <c r="F17" s="18"/>
      <c r="K17" t="s">
        <v>94</v>
      </c>
      <c r="N17" s="18">
        <f>NPV(N16,O10:R10)+N10</f>
        <v>14915135.052428607</v>
      </c>
      <c r="P17" s="18"/>
    </row>
    <row r="18" spans="2:20" x14ac:dyDescent="0.25">
      <c r="F18" s="6"/>
      <c r="P18" s="6"/>
    </row>
    <row r="19" spans="2:20" ht="14.4" thickBot="1" x14ac:dyDescent="0.3">
      <c r="B19" s="32" t="s">
        <v>95</v>
      </c>
      <c r="C19" s="32"/>
      <c r="D19" s="83">
        <f>IRR(D10:H10,)</f>
        <v>0.9908035314567758</v>
      </c>
      <c r="K19" s="32" t="s">
        <v>95</v>
      </c>
      <c r="L19" s="32"/>
      <c r="M19" s="32"/>
      <c r="N19" s="83">
        <f>IRR(N10:R10,)</f>
        <v>3.1741656409095729</v>
      </c>
    </row>
    <row r="20" spans="2:20" ht="16.2" thickTop="1" x14ac:dyDescent="0.3">
      <c r="F20" s="6"/>
      <c r="I20" s="36"/>
    </row>
    <row r="21" spans="2:20" x14ac:dyDescent="0.25">
      <c r="D21" s="6"/>
      <c r="F21" s="6"/>
    </row>
    <row r="22" spans="2:20" x14ac:dyDescent="0.25">
      <c r="H22" s="86"/>
      <c r="I22" s="86"/>
      <c r="J22" s="86"/>
      <c r="K22" s="86"/>
      <c r="L22" s="86"/>
      <c r="M22" s="86"/>
      <c r="N22" s="86"/>
      <c r="O22" s="86"/>
      <c r="P22" s="86"/>
      <c r="T22" s="6"/>
    </row>
    <row r="23" spans="2:20" ht="14.4" x14ac:dyDescent="0.3">
      <c r="H23" s="86"/>
      <c r="I23" s="87"/>
      <c r="J23" s="89"/>
      <c r="K23" s="89"/>
      <c r="L23" s="89"/>
      <c r="M23" s="89"/>
      <c r="N23" s="89"/>
      <c r="O23" s="89"/>
      <c r="P23" s="86"/>
      <c r="T23" s="10"/>
    </row>
    <row r="24" spans="2:20" x14ac:dyDescent="0.25">
      <c r="H24" s="86"/>
      <c r="I24" s="90"/>
      <c r="J24" s="88"/>
      <c r="K24" s="48"/>
      <c r="L24" s="48"/>
      <c r="M24" s="48"/>
      <c r="N24" s="48"/>
      <c r="O24" s="48"/>
      <c r="P24" s="86"/>
    </row>
    <row r="25" spans="2:20" x14ac:dyDescent="0.25">
      <c r="H25" s="86"/>
      <c r="I25" s="90"/>
      <c r="J25" s="48"/>
      <c r="K25" s="37"/>
      <c r="L25" s="37"/>
      <c r="M25" s="37"/>
      <c r="N25" s="37"/>
      <c r="O25" s="37"/>
      <c r="P25" s="86"/>
      <c r="T25" s="6"/>
    </row>
    <row r="26" spans="2:20" x14ac:dyDescent="0.25">
      <c r="H26" s="86"/>
      <c r="I26" s="90"/>
      <c r="J26" s="48"/>
      <c r="K26" s="37"/>
      <c r="L26" s="37"/>
      <c r="M26" s="37"/>
      <c r="N26" s="37"/>
      <c r="O26" s="37"/>
      <c r="P26" s="86"/>
      <c r="T26" s="6"/>
    </row>
    <row r="27" spans="2:20" x14ac:dyDescent="0.25">
      <c r="H27" s="86"/>
      <c r="I27" s="90"/>
      <c r="J27" s="48"/>
      <c r="K27" s="37"/>
      <c r="L27" s="37"/>
      <c r="M27" s="37"/>
      <c r="N27" s="37"/>
      <c r="O27" s="37"/>
      <c r="P27" s="86"/>
    </row>
    <row r="28" spans="2:20" x14ac:dyDescent="0.25">
      <c r="H28" s="86"/>
      <c r="I28" s="90"/>
      <c r="J28" s="48"/>
      <c r="K28" s="37"/>
      <c r="L28" s="37"/>
      <c r="M28" s="37"/>
      <c r="N28" s="37"/>
      <c r="O28" s="37"/>
      <c r="P28" s="86"/>
    </row>
    <row r="29" spans="2:20" x14ac:dyDescent="0.25">
      <c r="H29" s="86"/>
      <c r="I29" s="90"/>
      <c r="J29" s="48"/>
      <c r="K29" s="37"/>
      <c r="L29" s="37"/>
      <c r="M29" s="37"/>
      <c r="N29" s="37"/>
      <c r="O29" s="37"/>
      <c r="P29" s="86"/>
    </row>
    <row r="30" spans="2:20" x14ac:dyDescent="0.25">
      <c r="H30" s="86"/>
      <c r="I30" s="90"/>
      <c r="J30" s="48"/>
      <c r="K30" s="37"/>
      <c r="L30" s="37"/>
      <c r="M30" s="37"/>
      <c r="N30" s="37"/>
      <c r="O30" s="37"/>
      <c r="P30" s="86"/>
    </row>
  </sheetData>
  <mergeCells count="1">
    <mergeCell ref="B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188DF-D201-4E2F-A1AD-50FD7A6E1CC3}">
  <dimension ref="A2:R26"/>
  <sheetViews>
    <sheetView showGridLines="0" workbookViewId="0">
      <selection activeCell="N21" sqref="N21"/>
    </sheetView>
  </sheetViews>
  <sheetFormatPr defaultRowHeight="13.8" x14ac:dyDescent="0.25"/>
  <cols>
    <col min="1" max="1" width="1.88671875" style="1" customWidth="1"/>
    <col min="10" max="10" width="11.5546875" customWidth="1"/>
    <col min="11" max="11" width="10.77734375" customWidth="1"/>
    <col min="12" max="14" width="9.77734375" bestFit="1" customWidth="1"/>
    <col min="15" max="16" width="10.77734375" bestFit="1" customWidth="1"/>
    <col min="17" max="17" width="9.21875" bestFit="1" customWidth="1"/>
  </cols>
  <sheetData>
    <row r="2" spans="2:18" ht="22.8" x14ac:dyDescent="0.4">
      <c r="B2" s="84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</row>
    <row r="3" spans="2:18" x14ac:dyDescent="0.25">
      <c r="J3" s="6"/>
      <c r="L3" s="6"/>
    </row>
    <row r="4" spans="2:18" ht="15.6" x14ac:dyDescent="0.3">
      <c r="B4" s="35" t="s">
        <v>96</v>
      </c>
      <c r="C4" s="3"/>
      <c r="D4" s="3"/>
      <c r="E4" s="3"/>
      <c r="F4" s="3"/>
      <c r="G4" s="3"/>
      <c r="H4" s="4"/>
      <c r="K4" s="35" t="s">
        <v>103</v>
      </c>
      <c r="L4" s="3"/>
      <c r="M4" s="3"/>
      <c r="N4" s="3"/>
      <c r="O4" s="3"/>
      <c r="P4" s="3"/>
      <c r="Q4" s="4"/>
    </row>
    <row r="6" spans="2:18" ht="14.4" x14ac:dyDescent="0.3">
      <c r="B6" s="39"/>
      <c r="C6" s="73" t="s">
        <v>97</v>
      </c>
      <c r="D6" s="73"/>
      <c r="E6" s="73"/>
      <c r="F6" s="73"/>
      <c r="G6" s="73"/>
      <c r="H6" s="73"/>
      <c r="L6" s="73" t="s">
        <v>101</v>
      </c>
      <c r="M6" s="73"/>
      <c r="N6" s="73"/>
      <c r="O6" s="73"/>
      <c r="P6" s="73"/>
      <c r="Q6" s="73"/>
      <c r="R6" s="46"/>
    </row>
    <row r="7" spans="2:18" ht="15" customHeight="1" x14ac:dyDescent="0.25">
      <c r="B7" s="74" t="s">
        <v>98</v>
      </c>
      <c r="C7" s="54">
        <v>0.9908035314567758</v>
      </c>
      <c r="D7" s="56">
        <v>85</v>
      </c>
      <c r="E7" s="56">
        <v>90</v>
      </c>
      <c r="F7" s="56">
        <v>95</v>
      </c>
      <c r="G7" s="56">
        <v>100</v>
      </c>
      <c r="H7" s="56">
        <v>105</v>
      </c>
      <c r="K7" s="74" t="s">
        <v>102</v>
      </c>
      <c r="L7" s="54">
        <v>3.1741656409095702</v>
      </c>
      <c r="M7" s="85">
        <v>0.45</v>
      </c>
      <c r="N7" s="85">
        <v>0.6</v>
      </c>
      <c r="O7" s="85">
        <v>0.75</v>
      </c>
      <c r="P7" s="85">
        <v>0.9</v>
      </c>
      <c r="Q7" s="85">
        <v>0.95</v>
      </c>
      <c r="R7" s="44"/>
    </row>
    <row r="8" spans="2:18" ht="14.4" x14ac:dyDescent="0.3">
      <c r="B8" s="74"/>
      <c r="C8" s="55">
        <v>0.3</v>
      </c>
      <c r="D8" s="37">
        <v>0.2686681933664512</v>
      </c>
      <c r="E8" s="37">
        <v>0.23717074455561615</v>
      </c>
      <c r="F8" s="37">
        <v>0.2048452103829741</v>
      </c>
      <c r="G8" s="37">
        <v>0.17158163810997928</v>
      </c>
      <c r="H8" s="37">
        <v>0.13724617305138231</v>
      </c>
      <c r="K8" s="74"/>
      <c r="L8" s="55">
        <v>0.12</v>
      </c>
      <c r="M8" s="37">
        <v>1.5381011906116568</v>
      </c>
      <c r="N8" s="37">
        <v>2.0703252023710927</v>
      </c>
      <c r="O8" s="37">
        <v>3.1937467845684937</v>
      </c>
      <c r="P8" s="37">
        <v>7.5309249130129032</v>
      </c>
      <c r="Q8" s="37">
        <v>14.671045084985277</v>
      </c>
      <c r="R8" s="45"/>
    </row>
    <row r="9" spans="2:18" ht="14.4" x14ac:dyDescent="0.3">
      <c r="B9" s="74"/>
      <c r="C9" s="55">
        <v>0.4</v>
      </c>
      <c r="D9" s="37">
        <v>0.6765516997871357</v>
      </c>
      <c r="E9" s="37">
        <v>0.65094490207210765</v>
      </c>
      <c r="F9" s="37">
        <v>0.62509396675507123</v>
      </c>
      <c r="G9" s="37">
        <v>0.59898163454495457</v>
      </c>
      <c r="H9" s="37">
        <v>0.57258883699569751</v>
      </c>
      <c r="K9" s="74"/>
      <c r="L9" s="55">
        <v>0.13</v>
      </c>
      <c r="M9" s="37">
        <v>1.5368664855851413</v>
      </c>
      <c r="N9" s="37">
        <v>2.067731714219005</v>
      </c>
      <c r="O9" s="37">
        <v>3.1872972255308367</v>
      </c>
      <c r="P9" s="37">
        <v>7.5051249530291742</v>
      </c>
      <c r="Q9" s="37">
        <v>14.609913861601148</v>
      </c>
      <c r="R9" s="45"/>
    </row>
    <row r="10" spans="2:18" ht="14.4" x14ac:dyDescent="0.3">
      <c r="B10" s="74"/>
      <c r="C10" s="55">
        <v>0.5</v>
      </c>
      <c r="D10" s="37">
        <v>1.037792336038605</v>
      </c>
      <c r="E10" s="37">
        <v>1.0143535530435779</v>
      </c>
      <c r="F10" s="53">
        <v>0.9908035314567758</v>
      </c>
      <c r="G10" s="37">
        <v>0.96713665270716631</v>
      </c>
      <c r="H10" s="37">
        <v>0.94334690060684601</v>
      </c>
      <c r="K10" s="74"/>
      <c r="L10" s="55">
        <v>0.14000000000000001</v>
      </c>
      <c r="M10" s="37">
        <v>1.5356200275150478</v>
      </c>
      <c r="N10" s="37">
        <v>2.0651089867134096</v>
      </c>
      <c r="O10" s="37">
        <v>3.1807693977166682</v>
      </c>
      <c r="P10" s="37">
        <v>7.4789970600794291</v>
      </c>
      <c r="Q10" s="37">
        <v>14.547980788944148</v>
      </c>
      <c r="R10" s="45"/>
    </row>
    <row r="11" spans="2:18" ht="14.4" x14ac:dyDescent="0.3">
      <c r="B11" s="74"/>
      <c r="C11" s="55">
        <v>0.6</v>
      </c>
      <c r="D11" s="37">
        <v>1.3793586579359891</v>
      </c>
      <c r="E11" s="37">
        <v>1.3569909256370765</v>
      </c>
      <c r="F11" s="37">
        <v>1.3345621099826577</v>
      </c>
      <c r="G11" s="37">
        <v>1.3120697499936482</v>
      </c>
      <c r="H11" s="37">
        <v>1.2895112506325699</v>
      </c>
      <c r="K11" s="74"/>
      <c r="L11" s="55">
        <v>0.15000000000000002</v>
      </c>
      <c r="M11" s="37">
        <v>1.5343623049817392</v>
      </c>
      <c r="N11" s="37">
        <v>2.0624580201022655</v>
      </c>
      <c r="O11" s="53">
        <v>3.1741656409095702</v>
      </c>
      <c r="P11" s="37">
        <v>7.4525494749845027</v>
      </c>
      <c r="Q11" s="37">
        <v>14.485263463971718</v>
      </c>
      <c r="R11" s="45"/>
    </row>
    <row r="12" spans="2:18" ht="14.4" x14ac:dyDescent="0.3">
      <c r="B12" s="74"/>
      <c r="C12" s="55">
        <v>0.7</v>
      </c>
      <c r="D12" s="37">
        <v>1.7107356524466208</v>
      </c>
      <c r="E12" s="37">
        <v>1.6889776917814672</v>
      </c>
      <c r="F12" s="37">
        <v>1.6671823632093998</v>
      </c>
      <c r="G12" s="37">
        <v>1.6453483986411115</v>
      </c>
      <c r="H12" s="37">
        <v>1.6234744730736947</v>
      </c>
      <c r="K12" s="74"/>
      <c r="L12" s="55">
        <v>0.16000000000000003</v>
      </c>
      <c r="M12" s="37">
        <v>1.5330938028346814</v>
      </c>
      <c r="N12" s="37">
        <v>2.0597798069677524</v>
      </c>
      <c r="O12" s="37">
        <v>3.1674882777923656</v>
      </c>
      <c r="P12" s="37">
        <v>7.425790387050208</v>
      </c>
      <c r="Q12" s="37">
        <v>14.42177936893653</v>
      </c>
      <c r="R12" s="45"/>
    </row>
    <row r="13" spans="2:18" x14ac:dyDescent="0.25">
      <c r="B13" s="74"/>
      <c r="C13" s="55">
        <v>0.79999999999999993</v>
      </c>
      <c r="D13" s="37">
        <v>2.0362301445840822</v>
      </c>
      <c r="E13" s="37">
        <v>2.014851178222886</v>
      </c>
      <c r="F13" s="37">
        <v>1.9934476234527065</v>
      </c>
      <c r="G13" s="37">
        <v>1.9720187552193345</v>
      </c>
      <c r="H13" s="37">
        <v>1.9505638205628117</v>
      </c>
      <c r="K13" s="74"/>
      <c r="L13" s="55">
        <v>0.17000000000000004</v>
      </c>
      <c r="M13" s="37">
        <v>1.5318150020377952</v>
      </c>
      <c r="N13" s="37">
        <v>2.0570753318924533</v>
      </c>
      <c r="O13" s="37">
        <v>3.1607396132023409</v>
      </c>
      <c r="P13" s="37">
        <v>7.3987279322149657</v>
      </c>
      <c r="Q13" s="37">
        <v>14.357545868457768</v>
      </c>
    </row>
    <row r="19" spans="2:8" ht="14.4" x14ac:dyDescent="0.3">
      <c r="C19" s="46"/>
      <c r="D19" s="46"/>
      <c r="E19" s="46"/>
      <c r="F19" s="46"/>
      <c r="G19" s="46"/>
      <c r="H19" s="46"/>
    </row>
    <row r="20" spans="2:8" x14ac:dyDescent="0.25">
      <c r="B20" s="47"/>
      <c r="C20" s="6"/>
      <c r="D20" s="6"/>
      <c r="E20" s="6"/>
      <c r="F20" s="6"/>
      <c r="G20" s="6"/>
      <c r="H20" s="6"/>
    </row>
    <row r="21" spans="2:8" x14ac:dyDescent="0.25">
      <c r="B21" s="47"/>
      <c r="C21" s="6"/>
      <c r="D21" s="38"/>
      <c r="E21" s="38"/>
      <c r="F21" s="38"/>
      <c r="G21" s="38"/>
      <c r="H21" s="38"/>
    </row>
    <row r="22" spans="2:8" x14ac:dyDescent="0.25">
      <c r="B22" s="47"/>
      <c r="C22" s="6"/>
      <c r="D22" s="38"/>
      <c r="E22" s="38"/>
      <c r="F22" s="38"/>
      <c r="G22" s="38"/>
      <c r="H22" s="38"/>
    </row>
    <row r="23" spans="2:8" x14ac:dyDescent="0.25">
      <c r="B23" s="47"/>
      <c r="C23" s="6"/>
      <c r="D23" s="38"/>
      <c r="E23" s="38"/>
      <c r="F23" s="38"/>
      <c r="G23" s="38"/>
      <c r="H23" s="38"/>
    </row>
    <row r="24" spans="2:8" x14ac:dyDescent="0.25">
      <c r="B24" s="47"/>
      <c r="C24" s="6"/>
      <c r="D24" s="38"/>
      <c r="E24" s="38"/>
      <c r="F24" s="38"/>
      <c r="G24" s="38"/>
      <c r="H24" s="38"/>
    </row>
    <row r="25" spans="2:8" x14ac:dyDescent="0.25">
      <c r="B25" s="47"/>
      <c r="C25" s="6"/>
      <c r="D25" s="38"/>
      <c r="E25" s="38"/>
      <c r="F25" s="38"/>
      <c r="G25" s="38"/>
      <c r="H25" s="38"/>
    </row>
    <row r="26" spans="2:8" x14ac:dyDescent="0.25">
      <c r="B26" s="47"/>
      <c r="C26" s="6"/>
      <c r="D26" s="38"/>
      <c r="E26" s="38"/>
      <c r="F26" s="38"/>
      <c r="G26" s="38"/>
      <c r="H26" s="38"/>
    </row>
  </sheetData>
  <mergeCells count="5">
    <mergeCell ref="C6:H6"/>
    <mergeCell ref="B7:B13"/>
    <mergeCell ref="L6:Q6"/>
    <mergeCell ref="K7:K13"/>
    <mergeCell ref="B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Assumptions</vt:lpstr>
      <vt:lpstr>Financial Statements</vt:lpstr>
      <vt:lpstr>Debt</vt:lpstr>
      <vt:lpstr>FCFF, FCFE &amp; IRR</vt:lpstr>
      <vt:lpstr>IRR Sensitivity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Jyotsna Singh</dc:creator>
  <cp:lastModifiedBy>Jyotsna Singh</cp:lastModifiedBy>
  <dcterms:created xsi:type="dcterms:W3CDTF">2024-11-15T04:31:52Z</dcterms:created>
  <dcterms:modified xsi:type="dcterms:W3CDTF">2024-11-19T06:21:33Z</dcterms:modified>
</cp:coreProperties>
</file>