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tmcrossx\bondlib\bondxll\"/>
    </mc:Choice>
  </mc:AlternateContent>
  <xr:revisionPtr revIDLastSave="0" documentId="13_ncr:1_{770095A3-ADD8-482B-B177-1DF45A47523A}" xr6:coauthVersionLast="47" xr6:coauthVersionMax="47" xr10:uidLastSave="{00000000-0000-0000-0000-000000000000}"/>
  <bookViews>
    <workbookView xWindow="-120" yWindow="-120" windowWidth="29040" windowHeight="15720" activeTab="6" xr2:uid="{06412BBD-41CB-406E-9C18-9630F19E364B}"/>
  </bookViews>
  <sheets>
    <sheet name="Enum" sheetId="4" r:id="rId1"/>
    <sheet name="Black" sheetId="6" r:id="rId2"/>
    <sheet name="Date" sheetId="2" r:id="rId3"/>
    <sheet name="Curve" sheetId="3" r:id="rId4"/>
    <sheet name="Bond" sheetId="5" r:id="rId5"/>
    <sheet name="Bootstrap" sheetId="1" r:id="rId6"/>
    <sheet name="Ho-Lee" sheetId="7" r:id="rId7"/>
  </sheets>
  <definedNames>
    <definedName name="bond">Bootstrap!$E$7:$E$16</definedName>
    <definedName name="bond.simple">Bond!$C$6</definedName>
    <definedName name="coupon" localSheetId="4">Bond!$C$3</definedName>
    <definedName name="coupon">Bootstrap!$C$7:$C$16</definedName>
    <definedName name="curve" localSheetId="3">Curve!$I$3</definedName>
    <definedName name="curve">Bootstrap!$G$7</definedName>
    <definedName name="curve_">Curve!$I$6</definedName>
    <definedName name="date">Date!$C$2</definedName>
    <definedName name="dated" localSheetId="4">Bond!$C$7</definedName>
    <definedName name="dated">Bootstrap!$C$4</definedName>
    <definedName name="day_count" localSheetId="4">Bond!$C$5</definedName>
    <definedName name="days">Date!$C$10</definedName>
    <definedName name="Dt">'Ho-Lee'!$C$6</definedName>
    <definedName name="Du">'Ho-Lee'!$C$7</definedName>
    <definedName name="extrapolate">Curve!$C$6</definedName>
    <definedName name="f">Black!$C$2</definedName>
    <definedName name="frequency" localSheetId="4">Bond!$C$4</definedName>
    <definedName name="instrument" localSheetId="4">Bond!$C$8</definedName>
    <definedName name="instrument">Bootstrap!$F$7:$F$16</definedName>
    <definedName name="k">Black!$C$4</definedName>
    <definedName name="logD">'Ho-Lee'!$C$9</definedName>
    <definedName name="maturity" localSheetId="4">Bond!$C$2</definedName>
    <definedName name="maturity">Bootstrap!$B$7:$B$16</definedName>
    <definedName name="months">Date!$C$9</definedName>
    <definedName name="price">Bootstrap!$D$7:$D$16</definedName>
    <definedName name="r_">'Ho-Lee'!$C$2</definedName>
    <definedName name="rate">Curve!$C$3:$C$5</definedName>
    <definedName name="s">Black!$C$3</definedName>
    <definedName name="shift">Curve!$I$5</definedName>
    <definedName name="spread">Curve!$I$4</definedName>
    <definedName name="t">'Ho-Lee'!$C$4</definedName>
    <definedName name="time">Curve!$B$3:$B$5</definedName>
    <definedName name="translate">Curve!$I$2</definedName>
    <definedName name="u">'Ho-Lee'!$C$5</definedName>
    <definedName name="years">Date!$C$3</definedName>
    <definedName name="years_">Date!$C$8</definedName>
    <definedName name="yield">Bond!$C$9</definedName>
    <definedName name="σ">'Ho-Lee'!$C$3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7" l="1"/>
  <c r="E12" i="7"/>
  <c r="C8" i="7"/>
  <c r="C9" i="7" s="1"/>
  <c r="P7" i="1" a="1"/>
  <c r="P7" i="1" s="1"/>
  <c r="C3" i="6"/>
  <c r="C4" i="6"/>
  <c r="C2" i="6"/>
  <c r="C7" i="7"/>
  <c r="C6" i="7"/>
  <c r="E5" i="6"/>
  <c r="C3" i="3"/>
  <c r="C8" i="1"/>
  <c r="C7" i="5"/>
  <c r="K3" i="3" a="1"/>
  <c r="K3" i="3" s="1"/>
  <c r="C12" i="7" a="1"/>
  <c r="E5" i="4" a="1"/>
  <c r="C11" i="7" a="1"/>
  <c r="C10" i="7" a="1"/>
  <c r="C6" i="4" a="1"/>
  <c r="C4" i="4" a="1"/>
  <c r="E7" i="4" a="1"/>
  <c r="E7" i="1" a="1"/>
  <c r="E3" i="4" a="1"/>
  <c r="C6" i="5" a="1"/>
  <c r="E6" i="4" a="1"/>
  <c r="C3" i="4" a="1"/>
  <c r="E4" i="4" a="1"/>
  <c r="C5" i="4" a="1"/>
  <c r="D11" i="7" a="1"/>
  <c r="C6" i="6" a="1"/>
  <c r="C9" i="6" a="1"/>
  <c r="I3" i="3" a="1"/>
  <c r="D9" i="6" a="1"/>
  <c r="C7" i="6" a="1"/>
  <c r="D6" i="6" a="1"/>
  <c r="D10" i="7" a="1"/>
  <c r="C5" i="6" a="1"/>
  <c r="C8" i="6" a="1"/>
  <c r="E5" i="4" l="1"/>
  <c r="E4" i="4"/>
  <c r="E7" i="4"/>
  <c r="E6" i="4"/>
  <c r="E3" i="4"/>
  <c r="C4" i="4"/>
  <c r="C6" i="4"/>
  <c r="C5" i="4"/>
  <c r="C3" i="4"/>
  <c r="D8" i="7"/>
  <c r="E8" i="7"/>
  <c r="C6" i="5"/>
  <c r="I3" i="3"/>
  <c r="C9" i="6"/>
  <c r="C8" i="6"/>
  <c r="C12" i="7"/>
  <c r="D12" i="7"/>
  <c r="D13" i="7" s="1"/>
  <c r="D11" i="7"/>
  <c r="C11" i="7"/>
  <c r="D10" i="7"/>
  <c r="C10" i="7"/>
  <c r="D9" i="6"/>
  <c r="D6" i="6"/>
  <c r="C7" i="6"/>
  <c r="C5" i="6"/>
  <c r="C6" i="6"/>
  <c r="E7" i="1"/>
  <c r="C3" i="2"/>
  <c r="C2" i="2"/>
  <c r="H7" i="1" a="1"/>
  <c r="H7" i="1" s="1"/>
  <c r="L3" i="3" a="1"/>
  <c r="D2" i="5" a="1"/>
  <c r="N24" i="3" a="1"/>
  <c r="N23" i="3" a="1"/>
  <c r="N29" i="3" a="1"/>
  <c r="N42" i="3" a="1"/>
  <c r="N41" i="3" a="1"/>
  <c r="M32" i="3" a="1"/>
  <c r="M22" i="3" a="1"/>
  <c r="L31" i="3" a="1"/>
  <c r="N16" i="3" a="1"/>
  <c r="N19" i="3" a="1"/>
  <c r="N32" i="3" a="1"/>
  <c r="N34" i="3" a="1"/>
  <c r="N21" i="3" a="1"/>
  <c r="M28" i="3" a="1"/>
  <c r="M15" i="3" a="1"/>
  <c r="M18" i="3" a="1"/>
  <c r="M42" i="3" a="1"/>
  <c r="M21" i="3" a="1"/>
  <c r="L35" i="3" a="1"/>
  <c r="L19" i="3" a="1"/>
  <c r="L6" i="3" a="1"/>
  <c r="L37" i="3" a="1"/>
  <c r="L28" i="3" a="1"/>
  <c r="N4" i="3" a="1"/>
  <c r="N15" i="3" a="1"/>
  <c r="N20" i="3" a="1"/>
  <c r="N17" i="3" a="1"/>
  <c r="M12" i="3" a="1"/>
  <c r="M11" i="3" a="1"/>
  <c r="M14" i="3" a="1"/>
  <c r="M34" i="3" a="1"/>
  <c r="L27" i="3" a="1"/>
  <c r="L38" i="3" a="1"/>
  <c r="L29" i="3" a="1"/>
  <c r="E6" i="6" a="1"/>
  <c r="L43" i="3" a="1"/>
  <c r="N30" i="3" a="1"/>
  <c r="M13" i="3" a="1"/>
  <c r="L42" i="3" a="1"/>
  <c r="L24" i="3" a="1"/>
  <c r="M19" i="3" a="1"/>
  <c r="L32" i="3" a="1"/>
  <c r="N43" i="3" a="1"/>
  <c r="N11" i="3" a="1"/>
  <c r="N8" i="3" a="1"/>
  <c r="N26" i="3" a="1"/>
  <c r="N13" i="3" a="1"/>
  <c r="M39" i="3" a="1"/>
  <c r="M7" i="3" a="1"/>
  <c r="M6" i="3" a="1"/>
  <c r="M26" i="3" a="1"/>
  <c r="M9" i="3" a="1"/>
  <c r="L23" i="3" a="1"/>
  <c r="L34" i="3" a="1"/>
  <c r="L18" i="3" a="1"/>
  <c r="L21" i="3" a="1"/>
  <c r="L20" i="3" a="1"/>
  <c r="C4" i="2" a="1"/>
  <c r="M37" i="3" a="1"/>
  <c r="M40" i="3" a="1"/>
  <c r="L30" i="3" a="1"/>
  <c r="L13" i="3" a="1"/>
  <c r="E3" i="3" a="1"/>
  <c r="N35" i="3" a="1"/>
  <c r="N6" i="3" a="1"/>
  <c r="N5" i="3" a="1"/>
  <c r="M16" i="3" a="1"/>
  <c r="M29" i="3" a="1"/>
  <c r="L11" i="3" a="1"/>
  <c r="L33" i="3" a="1"/>
  <c r="L9" i="3" a="1"/>
  <c r="I5" i="3" a="1"/>
  <c r="M43" i="3" a="1"/>
  <c r="L10" i="3" a="1"/>
  <c r="N39" i="3" a="1"/>
  <c r="N7" i="3" a="1"/>
  <c r="N38" i="3" a="1"/>
  <c r="N22" i="3" a="1"/>
  <c r="N9" i="3" a="1"/>
  <c r="M35" i="3" a="1"/>
  <c r="M41" i="3" a="1"/>
  <c r="M10" i="3" a="1"/>
  <c r="L15" i="3" a="1"/>
  <c r="L41" i="3" a="1"/>
  <c r="L16" i="3" a="1"/>
  <c r="N25" i="3" a="1"/>
  <c r="N18" i="3" a="1"/>
  <c r="M31" i="3" a="1"/>
  <c r="M36" i="3" a="1"/>
  <c r="M20" i="3" a="1"/>
  <c r="L26" i="3" a="1"/>
  <c r="L12" i="3" a="1"/>
  <c r="L4" i="3" a="1"/>
  <c r="M25" i="3" a="1"/>
  <c r="N37" i="3" a="1"/>
  <c r="N31" i="3" a="1"/>
  <c r="N28" i="3" a="1"/>
  <c r="N33" i="3" a="1"/>
  <c r="N14" i="3" a="1"/>
  <c r="N3" i="3" a="1"/>
  <c r="M27" i="3" a="1"/>
  <c r="M38" i="3" a="1"/>
  <c r="M24" i="3" a="1"/>
  <c r="M17" i="3" a="1"/>
  <c r="M4" i="3" a="1"/>
  <c r="L7" i="3" a="1"/>
  <c r="L22" i="3" a="1"/>
  <c r="L25" i="3" a="1"/>
  <c r="L40" i="3" a="1"/>
  <c r="L8" i="3" a="1"/>
  <c r="C11" i="2" a="1"/>
  <c r="N40" i="3" a="1"/>
  <c r="N27" i="3" a="1"/>
  <c r="N12" i="3" a="1"/>
  <c r="N36" i="3" a="1"/>
  <c r="N10" i="3" a="1"/>
  <c r="M33" i="3" a="1"/>
  <c r="M23" i="3" a="1"/>
  <c r="M30" i="3" a="1"/>
  <c r="M8" i="3" a="1"/>
  <c r="M5" i="3" a="1"/>
  <c r="M3" i="3" a="1"/>
  <c r="L39" i="3" a="1"/>
  <c r="L14" i="3" a="1"/>
  <c r="L17" i="3" a="1"/>
  <c r="L36" i="3" a="1"/>
  <c r="C8" i="5" a="1"/>
  <c r="L5" i="3" a="1"/>
  <c r="L3" i="3" l="1"/>
  <c r="N5" i="3"/>
  <c r="N9" i="3"/>
  <c r="N13" i="3"/>
  <c r="N17" i="3"/>
  <c r="N21" i="3"/>
  <c r="N41" i="3"/>
  <c r="N10" i="3"/>
  <c r="N14" i="3"/>
  <c r="N18" i="3"/>
  <c r="N22" i="3"/>
  <c r="N26" i="3"/>
  <c r="N30" i="3"/>
  <c r="N34" i="3"/>
  <c r="N42" i="3"/>
  <c r="N36" i="3"/>
  <c r="N33" i="3"/>
  <c r="N6" i="3"/>
  <c r="N38" i="3"/>
  <c r="N8" i="3"/>
  <c r="N20" i="3"/>
  <c r="N32" i="3"/>
  <c r="N29" i="3"/>
  <c r="N12" i="3"/>
  <c r="N28" i="3"/>
  <c r="N25" i="3"/>
  <c r="N7" i="3"/>
  <c r="N11" i="3"/>
  <c r="N15" i="3"/>
  <c r="N19" i="3"/>
  <c r="N23" i="3"/>
  <c r="N27" i="3"/>
  <c r="N31" i="3"/>
  <c r="N35" i="3"/>
  <c r="N39" i="3"/>
  <c r="N43" i="3"/>
  <c r="N4" i="3"/>
  <c r="N16" i="3"/>
  <c r="N24" i="3"/>
  <c r="N40" i="3"/>
  <c r="N37" i="3"/>
  <c r="N3" i="3"/>
  <c r="M4" i="3"/>
  <c r="M20" i="3"/>
  <c r="M40" i="3"/>
  <c r="M9" i="3"/>
  <c r="M13" i="3"/>
  <c r="M21" i="3"/>
  <c r="M25" i="3"/>
  <c r="M5" i="3"/>
  <c r="M17" i="3"/>
  <c r="M29" i="3"/>
  <c r="M10" i="3"/>
  <c r="M26" i="3"/>
  <c r="M34" i="3"/>
  <c r="M42" i="3"/>
  <c r="M43" i="3"/>
  <c r="M8" i="3"/>
  <c r="M24" i="3"/>
  <c r="M36" i="3"/>
  <c r="M37" i="3"/>
  <c r="M6" i="3"/>
  <c r="M14" i="3"/>
  <c r="M18" i="3"/>
  <c r="M22" i="3"/>
  <c r="M30" i="3"/>
  <c r="M38" i="3"/>
  <c r="M16" i="3"/>
  <c r="M41" i="3"/>
  <c r="M7" i="3"/>
  <c r="M11" i="3"/>
  <c r="M15" i="3"/>
  <c r="M19" i="3"/>
  <c r="M23" i="3"/>
  <c r="M27" i="3"/>
  <c r="M31" i="3"/>
  <c r="M35" i="3"/>
  <c r="M39" i="3"/>
  <c r="M12" i="3"/>
  <c r="M28" i="3"/>
  <c r="M32" i="3"/>
  <c r="M33" i="3"/>
  <c r="M3" i="3"/>
  <c r="L4" i="3"/>
  <c r="L8" i="3"/>
  <c r="L12" i="3"/>
  <c r="L16" i="3"/>
  <c r="L20" i="3"/>
  <c r="L24" i="3"/>
  <c r="L28" i="3"/>
  <c r="L32" i="3"/>
  <c r="L36" i="3"/>
  <c r="L40" i="3"/>
  <c r="L9" i="3"/>
  <c r="L13" i="3"/>
  <c r="L21" i="3"/>
  <c r="L29" i="3"/>
  <c r="L37" i="3"/>
  <c r="L5" i="3"/>
  <c r="L17" i="3"/>
  <c r="L25" i="3"/>
  <c r="L33" i="3"/>
  <c r="L41" i="3"/>
  <c r="L18" i="3"/>
  <c r="L42" i="3"/>
  <c r="L6" i="3"/>
  <c r="L10" i="3"/>
  <c r="L14" i="3"/>
  <c r="L22" i="3"/>
  <c r="L26" i="3"/>
  <c r="L30" i="3"/>
  <c r="L34" i="3"/>
  <c r="L38" i="3"/>
  <c r="L19" i="3"/>
  <c r="L31" i="3"/>
  <c r="L39" i="3"/>
  <c r="L7" i="3"/>
  <c r="L11" i="3"/>
  <c r="L15" i="3"/>
  <c r="L23" i="3"/>
  <c r="L27" i="3"/>
  <c r="L35" i="3"/>
  <c r="L43" i="3"/>
  <c r="I5" i="3"/>
  <c r="E3" i="3"/>
  <c r="E6" i="6"/>
  <c r="D8" i="6" s="1"/>
  <c r="E8" i="6" s="1"/>
  <c r="E9" i="6"/>
  <c r="C8" i="5"/>
  <c r="D2" i="5"/>
  <c r="C11" i="2"/>
  <c r="D10" i="2" s="1"/>
  <c r="C4" i="2"/>
  <c r="D4" i="2" s="1"/>
  <c r="E2" i="5" a="1"/>
  <c r="E16" i="1" a="1"/>
  <c r="E10" i="1" a="1"/>
  <c r="E14" i="1" a="1"/>
  <c r="E15" i="1" a="1"/>
  <c r="E12" i="1" a="1"/>
  <c r="E11" i="1" a="1"/>
  <c r="E13" i="1" a="1"/>
  <c r="E9" i="1" a="1"/>
  <c r="O20" i="3" a="1"/>
  <c r="O7" i="3" a="1"/>
  <c r="O36" i="3" a="1"/>
  <c r="O3" i="3" a="1"/>
  <c r="O17" i="3" a="1"/>
  <c r="O42" i="3" a="1"/>
  <c r="C16" i="5" a="1"/>
  <c r="O21" i="3" a="1"/>
  <c r="O19" i="3" a="1"/>
  <c r="O33" i="3" a="1"/>
  <c r="O23" i="3" a="1"/>
  <c r="O18" i="3" a="1"/>
  <c r="O15" i="3" a="1"/>
  <c r="C5" i="2" a="1"/>
  <c r="O34" i="3" a="1"/>
  <c r="O8" i="3" a="1"/>
  <c r="O43" i="3" a="1"/>
  <c r="O29" i="3" a="1"/>
  <c r="O9" i="3" a="1"/>
  <c r="O41" i="3" a="1"/>
  <c r="O31" i="3" a="1"/>
  <c r="O16" i="3" a="1"/>
  <c r="O32" i="3" a="1"/>
  <c r="E8" i="1" a="1"/>
  <c r="O24" i="3" a="1"/>
  <c r="O35" i="3" a="1"/>
  <c r="O40" i="3" a="1"/>
  <c r="O11" i="3" a="1"/>
  <c r="C9" i="5" a="1"/>
  <c r="O4" i="3" a="1"/>
  <c r="O14" i="3" a="1"/>
  <c r="O39" i="3" a="1"/>
  <c r="O10" i="3" a="1"/>
  <c r="O5" i="3" a="1"/>
  <c r="O26" i="3" a="1"/>
  <c r="O6" i="3" a="1"/>
  <c r="O28" i="3" a="1"/>
  <c r="O12" i="3" a="1"/>
  <c r="O30" i="3" a="1"/>
  <c r="O13" i="3" a="1"/>
  <c r="O25" i="3" a="1"/>
  <c r="O37" i="3" a="1"/>
  <c r="C6" i="2" a="1"/>
  <c r="O38" i="3" a="1"/>
  <c r="O22" i="3" a="1"/>
  <c r="O27" i="3" a="1"/>
  <c r="O13" i="3" l="1"/>
  <c r="O26" i="3"/>
  <c r="O42" i="3"/>
  <c r="O4" i="3"/>
  <c r="O12" i="3"/>
  <c r="O16" i="3"/>
  <c r="O24" i="3"/>
  <c r="O32" i="3"/>
  <c r="O40" i="3"/>
  <c r="O9" i="3"/>
  <c r="O29" i="3"/>
  <c r="O37" i="3"/>
  <c r="O6" i="3"/>
  <c r="O10" i="3"/>
  <c r="O14" i="3"/>
  <c r="O18" i="3"/>
  <c r="O22" i="3"/>
  <c r="O30" i="3"/>
  <c r="O34" i="3"/>
  <c r="O38" i="3"/>
  <c r="O8" i="3"/>
  <c r="O20" i="3"/>
  <c r="O28" i="3"/>
  <c r="O36" i="3"/>
  <c r="O5" i="3"/>
  <c r="O21" i="3"/>
  <c r="O33" i="3"/>
  <c r="O17" i="3"/>
  <c r="O7" i="3"/>
  <c r="O11" i="3"/>
  <c r="O15" i="3"/>
  <c r="O19" i="3"/>
  <c r="O23" i="3"/>
  <c r="O27" i="3"/>
  <c r="O31" i="3"/>
  <c r="O35" i="3"/>
  <c r="O39" i="3"/>
  <c r="O43" i="3"/>
  <c r="O25" i="3"/>
  <c r="O41" i="3"/>
  <c r="O3" i="3"/>
  <c r="D7" i="6"/>
  <c r="E7" i="6" s="1"/>
  <c r="C9" i="5"/>
  <c r="C16" i="5"/>
  <c r="E2" i="5"/>
  <c r="D9" i="2"/>
  <c r="D8" i="2"/>
  <c r="C6" i="2"/>
  <c r="C5" i="2"/>
  <c r="D5" i="2" s="1"/>
  <c r="E10" i="1"/>
  <c r="E12" i="1"/>
  <c r="E16" i="1"/>
  <c r="E8" i="1"/>
  <c r="E13" i="1"/>
  <c r="E14" i="1"/>
  <c r="E15" i="1"/>
  <c r="E11" i="1"/>
  <c r="E9" i="1"/>
  <c r="C13" i="5" a="1"/>
  <c r="F2" i="5" a="1"/>
  <c r="F7" i="1" a="1"/>
  <c r="F12" i="1" a="1"/>
  <c r="F16" i="1" a="1"/>
  <c r="F10" i="1" a="1"/>
  <c r="F14" i="1" a="1"/>
  <c r="F11" i="1" a="1"/>
  <c r="F15" i="1" a="1"/>
  <c r="F9" i="1" a="1"/>
  <c r="F13" i="1" a="1"/>
  <c r="F8" i="1" a="1"/>
  <c r="E16" i="5" a="1"/>
  <c r="C7" i="2" a="1"/>
  <c r="D9" i="5" a="1"/>
  <c r="C13" i="5" l="1"/>
  <c r="G5" i="5"/>
  <c r="G4" i="5"/>
  <c r="G3" i="5"/>
  <c r="D9" i="5"/>
  <c r="E16" i="5"/>
  <c r="F2" i="5"/>
  <c r="G2" i="5" s="1"/>
  <c r="C7" i="2"/>
  <c r="D7" i="2" s="1"/>
  <c r="F15" i="1"/>
  <c r="F7" i="1"/>
  <c r="F13" i="1"/>
  <c r="F14" i="1"/>
  <c r="F8" i="1"/>
  <c r="F16" i="1"/>
  <c r="F9" i="1"/>
  <c r="F12" i="1"/>
  <c r="F11" i="1"/>
  <c r="F10" i="1"/>
  <c r="F2" i="1" a="1"/>
  <c r="F17" i="5" a="1"/>
  <c r="C12" i="5" a="1"/>
  <c r="F16" i="5" a="1"/>
  <c r="F18" i="5" a="1"/>
  <c r="C11" i="5" a="1"/>
  <c r="C10" i="5" a="1"/>
  <c r="F20" i="5" a="1"/>
  <c r="F23" i="5" a="1"/>
  <c r="F19" i="5" a="1"/>
  <c r="F21" i="5" a="1"/>
  <c r="F22" i="5" a="1"/>
  <c r="G7" i="1" a="1"/>
  <c r="G7" i="1" l="1"/>
  <c r="F2" i="1"/>
  <c r="F17" i="5"/>
  <c r="G17" i="5" s="1"/>
  <c r="F21" i="5"/>
  <c r="G21" i="5" s="1"/>
  <c r="F20" i="5"/>
  <c r="G20" i="5" s="1"/>
  <c r="F18" i="5"/>
  <c r="G18" i="5" s="1"/>
  <c r="F22" i="5"/>
  <c r="G22" i="5" s="1"/>
  <c r="F19" i="5"/>
  <c r="G19" i="5" s="1"/>
  <c r="F23" i="5"/>
  <c r="G23" i="5" s="1"/>
  <c r="F16" i="5"/>
  <c r="G16" i="5" s="1"/>
  <c r="C12" i="5"/>
  <c r="C11" i="5"/>
  <c r="C10" i="5"/>
  <c r="S13" i="1" a="1"/>
  <c r="Q9" i="1" a="1"/>
  <c r="S15" i="1" a="1"/>
  <c r="S10" i="1" a="1"/>
  <c r="S8" i="1" a="1"/>
  <c r="S11" i="1" a="1"/>
  <c r="Q10" i="1" a="1"/>
  <c r="R15" i="1" a="1"/>
  <c r="S12" i="1" a="1"/>
  <c r="Q13" i="1" a="1"/>
  <c r="R17" i="1" a="1"/>
  <c r="R14" i="1" a="1"/>
  <c r="I7" i="1" a="1"/>
  <c r="S16" i="1" a="1"/>
  <c r="S7" i="1" a="1"/>
  <c r="R13" i="1" a="1"/>
  <c r="Q11" i="1" a="1"/>
  <c r="S17" i="1" a="1"/>
  <c r="R10" i="1" a="1"/>
  <c r="R8" i="1" a="1"/>
  <c r="R7" i="1" a="1"/>
  <c r="R12" i="1" a="1"/>
  <c r="S14" i="1" a="1"/>
  <c r="Q8" i="1" a="1"/>
  <c r="Q14" i="1" a="1"/>
  <c r="Q12" i="1" a="1"/>
  <c r="Q7" i="1" a="1"/>
  <c r="Q17" i="1" a="1"/>
  <c r="R9" i="1" a="1"/>
  <c r="Q16" i="1" a="1"/>
  <c r="S9" i="1" a="1"/>
  <c r="R11" i="1" a="1"/>
  <c r="R16" i="1" a="1"/>
  <c r="Q15" i="1" a="1"/>
  <c r="H21" i="5" l="1"/>
  <c r="I21" i="5"/>
  <c r="H17" i="5"/>
  <c r="I17" i="5"/>
  <c r="H20" i="5"/>
  <c r="I20" i="5"/>
  <c r="H23" i="5"/>
  <c r="I23" i="5"/>
  <c r="H19" i="5"/>
  <c r="I19" i="5"/>
  <c r="H22" i="5"/>
  <c r="I22" i="5"/>
  <c r="H18" i="5"/>
  <c r="I18" i="5"/>
  <c r="H16" i="5"/>
  <c r="I16" i="5"/>
  <c r="G14" i="5"/>
  <c r="G13" i="5" s="1"/>
  <c r="S8" i="1"/>
  <c r="S14" i="1"/>
  <c r="S16" i="1"/>
  <c r="S9" i="1"/>
  <c r="S17" i="1"/>
  <c r="S10" i="1"/>
  <c r="S12" i="1"/>
  <c r="S13" i="1"/>
  <c r="S11" i="1"/>
  <c r="S15" i="1"/>
  <c r="S7" i="1"/>
  <c r="R7" i="1"/>
  <c r="R8" i="1"/>
  <c r="R12" i="1"/>
  <c r="R16" i="1"/>
  <c r="R9" i="1"/>
  <c r="R13" i="1"/>
  <c r="R14" i="1"/>
  <c r="R10" i="1"/>
  <c r="R17" i="1"/>
  <c r="R11" i="1"/>
  <c r="R15" i="1"/>
  <c r="Q8" i="1"/>
  <c r="Q12" i="1"/>
  <c r="Q16" i="1"/>
  <c r="Q9" i="1"/>
  <c r="Q17" i="1"/>
  <c r="Q14" i="1"/>
  <c r="Q10" i="1"/>
  <c r="Q11" i="1"/>
  <c r="Q15" i="1"/>
  <c r="Q13" i="1"/>
  <c r="Q7" i="1"/>
  <c r="I7" i="1"/>
  <c r="I14" i="5" l="1"/>
  <c r="I13" i="5" s="1"/>
  <c r="H14" i="5"/>
  <c r="H1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<sst xmlns="http://schemas.openxmlformats.org/spreadsheetml/2006/main" count="84" uniqueCount="67">
  <si>
    <t>maturity</t>
  </si>
  <si>
    <t>coupon</t>
  </si>
  <si>
    <t>bond</t>
  </si>
  <si>
    <t>instrument</t>
  </si>
  <si>
    <t>dated</t>
  </si>
  <si>
    <t>BondLib</t>
  </si>
  <si>
    <t>price</t>
  </si>
  <si>
    <t>curve</t>
  </si>
  <si>
    <t>date</t>
  </si>
  <si>
    <t>years</t>
  </si>
  <si>
    <t>add_years</t>
  </si>
  <si>
    <t>sub_years</t>
  </si>
  <si>
    <t>months</t>
  </si>
  <si>
    <t>days</t>
  </si>
  <si>
    <t>add_ymd</t>
  </si>
  <si>
    <t>years_</t>
  </si>
  <si>
    <t>time</t>
  </si>
  <si>
    <t>rate</t>
  </si>
  <si>
    <t>extrapolate</t>
  </si>
  <si>
    <t>value</t>
  </si>
  <si>
    <t>discount</t>
  </si>
  <si>
    <t>frequency</t>
  </si>
  <si>
    <t>day_count</t>
  </si>
  <si>
    <t>TMX_FREQUENCY_ANNUALLY</t>
  </si>
  <si>
    <t>TMX_FREQUENCY_SEMIANNUALLY</t>
  </si>
  <si>
    <t>TMX_FREQUENCY_QUARTERLY</t>
  </si>
  <si>
    <t>TMX_FREQUENCY_MONTHLY</t>
  </si>
  <si>
    <t>TMX_DAY_COUNT_30_360</t>
  </si>
  <si>
    <t>TMX_DAY_COUNT_ACTUAL_360</t>
  </si>
  <si>
    <t>TMX_DAY_COUNT_ACTUAL_365</t>
  </si>
  <si>
    <t>TMX_DAY_COUNT_ACTUAL_ACTUAL</t>
  </si>
  <si>
    <t>TMX_DAY_COUNT_YEARS</t>
  </si>
  <si>
    <t>bond.simple</t>
  </si>
  <si>
    <t>cash</t>
  </si>
  <si>
    <t>forward</t>
  </si>
  <si>
    <t>bootstrap</t>
  </si>
  <si>
    <t>bond.instrument</t>
  </si>
  <si>
    <t>yield</t>
  </si>
  <si>
    <t>compound_yield</t>
  </si>
  <si>
    <t>duration</t>
  </si>
  <si>
    <t>convexity</t>
  </si>
  <si>
    <t>f</t>
  </si>
  <si>
    <t>s</t>
  </si>
  <si>
    <t>k</t>
  </si>
  <si>
    <t>moneyness</t>
  </si>
  <si>
    <t>delta</t>
  </si>
  <si>
    <t>gamma</t>
  </si>
  <si>
    <t>vega</t>
  </si>
  <si>
    <t>t</t>
  </si>
  <si>
    <t>r</t>
  </si>
  <si>
    <t>σ</t>
  </si>
  <si>
    <t>u</t>
  </si>
  <si>
    <t>D_t(u)</t>
  </si>
  <si>
    <t>Dt</t>
  </si>
  <si>
    <t>Du</t>
  </si>
  <si>
    <t>ED</t>
  </si>
  <si>
    <t>ELogD</t>
  </si>
  <si>
    <t>VarLogD</t>
  </si>
  <si>
    <t>logD</t>
  </si>
  <si>
    <t>pv</t>
  </si>
  <si>
    <t>dur</t>
  </si>
  <si>
    <t>cvx</t>
  </si>
  <si>
    <t>present</t>
  </si>
  <si>
    <t>spread</t>
  </si>
  <si>
    <t>shift</t>
  </si>
  <si>
    <t>cnv</t>
  </si>
  <si>
    <t>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</si>
</sst>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0x&quot;#"/>
    <numFmt numFmtId="165" formatCode="0.0000"/>
    <numFmt numFmtId="166" formatCode="0.000%"/>
    <numFmt numFmtId="167" formatCode="0.000"/>
    <numFmt numFmtId="168" formatCode="0.00000"/>
  </numFmts>
  <fonts count="7" x14ac:knownFonts="1"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4" fillId="2" borderId="1" applyNumberFormat="0" applyAlignment="0" applyProtection="0"/>
    <xf numFmtId="0" fontId="5" fillId="3" borderId="2" applyNumberFormat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1" applyNumberFormat="1" applyFont="1"/>
    <xf numFmtId="0" fontId="5" fillId="3" borderId="2" xfId="3" applyNumberFormat="1"/>
    <xf numFmtId="14" fontId="4" fillId="2" borderId="1" xfId="2" applyNumberFormat="1"/>
    <xf numFmtId="0" fontId="4" fillId="2" borderId="1" xfId="2"/>
    <xf numFmtId="0" fontId="6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4" fillId="2" borderId="1" xfId="2" quotePrefix="1"/>
    <xf numFmtId="9" fontId="4" fillId="2" borderId="1" xfId="2" applyNumberFormat="1"/>
    <xf numFmtId="0" fontId="4" fillId="2" borderId="1" xfId="2" applyAlignment="1">
      <alignment horizontal="right"/>
    </xf>
    <xf numFmtId="165" fontId="4" fillId="2" borderId="1" xfId="2" applyNumberFormat="1"/>
    <xf numFmtId="165" fontId="0" fillId="0" borderId="0" xfId="0" applyNumberFormat="1"/>
    <xf numFmtId="0" fontId="5" fillId="3" borderId="2" xfId="3"/>
    <xf numFmtId="10" fontId="0" fillId="0" borderId="0" xfId="0" applyNumberFormat="1"/>
    <xf numFmtId="0" fontId="6" fillId="0" borderId="0" xfId="0" applyFont="1" applyAlignment="1">
      <alignment horizontal="center"/>
    </xf>
    <xf numFmtId="166" fontId="0" fillId="0" borderId="0" xfId="1" applyNumberFormat="1" applyFont="1"/>
    <xf numFmtId="166" fontId="0" fillId="0" borderId="0" xfId="1" quotePrefix="1" applyNumberFormat="1" applyFont="1"/>
    <xf numFmtId="167" fontId="0" fillId="0" borderId="0" xfId="0" applyNumberFormat="1"/>
    <xf numFmtId="165" fontId="0" fillId="0" borderId="0" xfId="1" applyNumberFormat="1" applyFont="1"/>
    <xf numFmtId="168" fontId="0" fillId="0" borderId="0" xfId="0" applyNumberFormat="1"/>
    <xf numFmtId="14" fontId="0" fillId="0" borderId="0" xfId="0" applyNumberFormat="1" applyAlignment="1">
      <alignment horizontal="center"/>
    </xf>
  </cellXfs>
  <cellStyles count="4">
    <cellStyle name="Check Cell" xfId="3" builtinId="23"/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Curve!$L$2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</c:numCache>
            </c:numRef>
          </c:xVal>
          <c:yVal>
            <c:numRef>
              <c:f>Curve!$L$3:$L$43</c:f>
              <c:numCache>
                <c:formatCode>General</c:formatCode>
                <c:ptCount val="41"/>
                <c:pt idx="0">
                  <c:v>0.49799801559335011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D2-4B6E-B24E-18B2027029E1}"/>
            </c:ext>
          </c:extLst>
        </c:ser>
        <c:ser>
          <c:idx val="1"/>
          <c:order val="1"/>
          <c:tx>
            <c:strRef>
              <c:f>Curve!$M$2</c:f>
              <c:strCache>
                <c:ptCount val="1"/>
                <c:pt idx="0">
                  <c:v>yield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</c:numCache>
            </c:numRef>
          </c:xVal>
          <c:yVal>
            <c:numRef>
              <c:f>Curve!$M$3:$M$43</c:f>
              <c:numCache>
                <c:formatCode>General</c:formatCode>
                <c:ptCount val="41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0.20909090909090908</c:v>
                </c:pt>
                <c:pt idx="12">
                  <c:v>0.2166666666666667</c:v>
                </c:pt>
                <c:pt idx="13">
                  <c:v>0.22307692307692306</c:v>
                </c:pt>
                <c:pt idx="14">
                  <c:v>0.22857142857142859</c:v>
                </c:pt>
                <c:pt idx="15">
                  <c:v>0.23333333333333331</c:v>
                </c:pt>
                <c:pt idx="16">
                  <c:v>0.23750000000000002</c:v>
                </c:pt>
                <c:pt idx="17">
                  <c:v>0.2411764705882353</c:v>
                </c:pt>
                <c:pt idx="18">
                  <c:v>0.24444444444444446</c:v>
                </c:pt>
                <c:pt idx="19">
                  <c:v>0.24736842105263157</c:v>
                </c:pt>
                <c:pt idx="20">
                  <c:v>0.25000000000000006</c:v>
                </c:pt>
                <c:pt idx="21">
                  <c:v>0.25714285714285717</c:v>
                </c:pt>
                <c:pt idx="22">
                  <c:v>0.26363636363636367</c:v>
                </c:pt>
                <c:pt idx="23">
                  <c:v>0.2695652173913044</c:v>
                </c:pt>
                <c:pt idx="24">
                  <c:v>0.27500000000000008</c:v>
                </c:pt>
                <c:pt idx="25">
                  <c:v>0.28000000000000008</c:v>
                </c:pt>
                <c:pt idx="26">
                  <c:v>0.28461538461538466</c:v>
                </c:pt>
                <c:pt idx="27">
                  <c:v>0.28888888888888897</c:v>
                </c:pt>
                <c:pt idx="28">
                  <c:v>0.29285714285714293</c:v>
                </c:pt>
                <c:pt idx="29">
                  <c:v>0.29655172413793107</c:v>
                </c:pt>
                <c:pt idx="30">
                  <c:v>0.3000000000000001</c:v>
                </c:pt>
                <c:pt idx="31">
                  <c:v>0.30322580645161296</c:v>
                </c:pt>
                <c:pt idx="32">
                  <c:v>0.30625000000000002</c:v>
                </c:pt>
                <c:pt idx="33">
                  <c:v>0.30909090909090914</c:v>
                </c:pt>
                <c:pt idx="34">
                  <c:v>0.311764705882353</c:v>
                </c:pt>
                <c:pt idx="35">
                  <c:v>0.31428571428571433</c:v>
                </c:pt>
                <c:pt idx="36">
                  <c:v>0.31666666666666671</c:v>
                </c:pt>
                <c:pt idx="37">
                  <c:v>0.31891891891891899</c:v>
                </c:pt>
                <c:pt idx="38">
                  <c:v>0.32105263157894742</c:v>
                </c:pt>
                <c:pt idx="39">
                  <c:v>0.32307692307692315</c:v>
                </c:pt>
                <c:pt idx="40">
                  <c:v>0.32500000000000001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D2-4B6E-B24E-18B2027029E1}"/>
            </c:ext>
          </c:extLst>
        </c:ser>
        <c:ser>
          <c:idx val="2"/>
          <c:order val="2"/>
          <c:tx>
            <c:strRef>
              <c:f>Curve!$N$2</c:f>
              <c:strCache>
                <c:ptCount val="1"/>
                <c:pt idx="0">
                  <c:v>discount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</c:numCache>
            </c:numRef>
          </c:xVal>
          <c:yVal>
            <c:numRef>
              <c:f>Curve!$N$3:$N$43</c:f>
              <c:numCache>
                <c:formatCode>General</c:formatCode>
                <c:ptCount val="41"/>
                <c:pt idx="0">
                  <c:v>1</c:v>
                </c:pt>
                <c:pt idx="1">
                  <c:v>0.98019867330675525</c:v>
                </c:pt>
                <c:pt idx="2">
                  <c:v>0.96078943915232318</c:v>
                </c:pt>
                <c:pt idx="3">
                  <c:v>0.94176453358424872</c:v>
                </c:pt>
                <c:pt idx="4">
                  <c:v>0.92311634638663576</c:v>
                </c:pt>
                <c:pt idx="5">
                  <c:v>0.90483741803595952</c:v>
                </c:pt>
                <c:pt idx="6">
                  <c:v>0.88692043671715748</c:v>
                </c:pt>
                <c:pt idx="7">
                  <c:v>0.86935823539880586</c:v>
                </c:pt>
                <c:pt idx="8">
                  <c:v>0.85214378896621135</c:v>
                </c:pt>
                <c:pt idx="9">
                  <c:v>0.835270211411272</c:v>
                </c:pt>
                <c:pt idx="10">
                  <c:v>0.81873075307798182</c:v>
                </c:pt>
                <c:pt idx="11">
                  <c:v>0.79453360250333405</c:v>
                </c:pt>
                <c:pt idx="12">
                  <c:v>0.77105158580356625</c:v>
                </c:pt>
                <c:pt idx="13">
                  <c:v>0.74826356757856527</c:v>
                </c:pt>
                <c:pt idx="14">
                  <c:v>0.72614903707369083</c:v>
                </c:pt>
                <c:pt idx="15">
                  <c:v>0.70468808971871344</c:v>
                </c:pt>
                <c:pt idx="16">
                  <c:v>0.68386140921235572</c:v>
                </c:pt>
                <c:pt idx="17">
                  <c:v>0.6636502501363194</c:v>
                </c:pt>
                <c:pt idx="18">
                  <c:v>0.64403642108314119</c:v>
                </c:pt>
                <c:pt idx="19">
                  <c:v>0.62500226828270078</c:v>
                </c:pt>
                <c:pt idx="20">
                  <c:v>0.60653065971263331</c:v>
                </c:pt>
                <c:pt idx="21">
                  <c:v>0.58274825237398953</c:v>
                </c:pt>
                <c:pt idx="22">
                  <c:v>0.55989836656540182</c:v>
                </c:pt>
                <c:pt idx="23">
                  <c:v>0.53794443759467436</c:v>
                </c:pt>
                <c:pt idx="24">
                  <c:v>0.51685133449169907</c:v>
                </c:pt>
                <c:pt idx="25">
                  <c:v>0.4965853037914093</c:v>
                </c:pt>
                <c:pt idx="26">
                  <c:v>0.47711391552103416</c:v>
                </c:pt>
                <c:pt idx="27">
                  <c:v>0.45840601130522335</c:v>
                </c:pt>
                <c:pt idx="28">
                  <c:v>0.44043165450599903</c:v>
                </c:pt>
                <c:pt idx="29">
                  <c:v>0.4231620823177486</c:v>
                </c:pt>
                <c:pt idx="30">
                  <c:v>0.40656965974059878</c:v>
                </c:pt>
                <c:pt idx="31">
                  <c:v>0.39062783535852086</c:v>
                </c:pt>
                <c:pt idx="32">
                  <c:v>0.37531109885139941</c:v>
                </c:pt>
                <c:pt idx="33">
                  <c:v>0.36059494017307803</c:v>
                </c:pt>
                <c:pt idx="34">
                  <c:v>0.34645581033005712</c:v>
                </c:pt>
                <c:pt idx="35">
                  <c:v>0.33287108369807933</c:v>
                </c:pt>
                <c:pt idx="36">
                  <c:v>0.31981902181630373</c:v>
                </c:pt>
                <c:pt idx="37">
                  <c:v>0.30727873860113097</c:v>
                </c:pt>
                <c:pt idx="38">
                  <c:v>0.29523016692401388</c:v>
                </c:pt>
                <c:pt idx="39">
                  <c:v>0.28365402649977012</c:v>
                </c:pt>
                <c:pt idx="40">
                  <c:v>0.27253179303401243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D2-4B6E-B24E-18B2027029E1}"/>
            </c:ext>
          </c:extLst>
        </c:ser>
        <c:ser>
          <c:idx val="3"/>
          <c:order val="3"/>
          <c:tx>
            <c:strRef>
              <c:f>Curve!$O$2</c:f>
              <c:strCache>
                <c:ptCount val="1"/>
                <c:pt idx="0">
                  <c:v>shift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</c:numCache>
            </c:numRef>
          </c:xVal>
          <c:yVal>
            <c:numRef>
              <c:f>Curve!$O$3:$O$43</c:f>
              <c:numCache>
                <c:formatCode>General</c:formatCode>
                <c:ptCount val="41"/>
                <c:pt idx="0">
                  <c:v>0.59799801559335009</c:v>
                </c:pt>
                <c:pt idx="1">
                  <c:v>0.59799801559335009</c:v>
                </c:pt>
                <c:pt idx="2">
                  <c:v>0.59799801559335009</c:v>
                </c:pt>
                <c:pt idx="3">
                  <c:v>0.59799801559335009</c:v>
                </c:pt>
                <c:pt idx="4">
                  <c:v>0.59799801559335009</c:v>
                </c:pt>
                <c:pt idx="5">
                  <c:v>0.59799801559335009</c:v>
                </c:pt>
                <c:pt idx="6">
                  <c:v>0.59799801559335009</c:v>
                </c:pt>
                <c:pt idx="7">
                  <c:v>0.59799801559335009</c:v>
                </c:pt>
                <c:pt idx="8">
                  <c:v>0.59799801559335009</c:v>
                </c:pt>
                <c:pt idx="9">
                  <c:v>0.59799801559335009</c:v>
                </c:pt>
                <c:pt idx="10">
                  <c:v>0.59799801559335009</c:v>
                </c:pt>
                <c:pt idx="11">
                  <c:v>0.30000000000000004</c:v>
                </c:pt>
                <c:pt idx="12">
                  <c:v>0.30000000000000004</c:v>
                </c:pt>
                <c:pt idx="13">
                  <c:v>0.30000000000000004</c:v>
                </c:pt>
                <c:pt idx="14">
                  <c:v>0.30000000000000004</c:v>
                </c:pt>
                <c:pt idx="15">
                  <c:v>0.30000000000000004</c:v>
                </c:pt>
                <c:pt idx="16">
                  <c:v>0.30000000000000004</c:v>
                </c:pt>
                <c:pt idx="17">
                  <c:v>0.30000000000000004</c:v>
                </c:pt>
                <c:pt idx="18">
                  <c:v>0.30000000000000004</c:v>
                </c:pt>
                <c:pt idx="19">
                  <c:v>0.30000000000000004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BE-4D8E-AA0A-E8024EA00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154208"/>
        <c:axId val="1847134528"/>
      </c:scatterChart>
      <c:valAx>
        <c:axId val="184715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34528"/>
        <c:crosses val="autoZero"/>
        <c:crossBetween val="midCat"/>
      </c:valAx>
      <c:valAx>
        <c:axId val="184713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5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Bootstrap!$I$6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Bootstrap!$H$7:$H$107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</c:numCache>
            </c:numRef>
          </c:xVal>
          <c:yVal>
            <c:numRef>
              <c:f>Bootstrap!$I$7:$I$107</c:f>
              <c:numCache>
                <c:formatCode>0.000%</c:formatCode>
                <c:ptCount val="101"/>
                <c:pt idx="0">
                  <c:v>4.9688642476346197E-2</c:v>
                </c:pt>
                <c:pt idx="1">
                  <c:v>4.9688642476346197E-2</c:v>
                </c:pt>
                <c:pt idx="2">
                  <c:v>4.9688642476346197E-2</c:v>
                </c:pt>
                <c:pt idx="3">
                  <c:v>4.9688642476346197E-2</c:v>
                </c:pt>
                <c:pt idx="4">
                  <c:v>4.9688642476346197E-2</c:v>
                </c:pt>
                <c:pt idx="5">
                  <c:v>4.9688642476346197E-2</c:v>
                </c:pt>
                <c:pt idx="6">
                  <c:v>4.9688642476346197E-2</c:v>
                </c:pt>
                <c:pt idx="7">
                  <c:v>4.9688642476346197E-2</c:v>
                </c:pt>
                <c:pt idx="8">
                  <c:v>4.9688642476346197E-2</c:v>
                </c:pt>
                <c:pt idx="9">
                  <c:v>4.9688642476346197E-2</c:v>
                </c:pt>
                <c:pt idx="10">
                  <c:v>4.9688642476346197E-2</c:v>
                </c:pt>
                <c:pt idx="11">
                  <c:v>6.1543848739466347E-2</c:v>
                </c:pt>
                <c:pt idx="12">
                  <c:v>6.1543848739466347E-2</c:v>
                </c:pt>
                <c:pt idx="13">
                  <c:v>6.1543848739466347E-2</c:v>
                </c:pt>
                <c:pt idx="14">
                  <c:v>6.1543848739466347E-2</c:v>
                </c:pt>
                <c:pt idx="15">
                  <c:v>6.1543848739466347E-2</c:v>
                </c:pt>
                <c:pt idx="16">
                  <c:v>6.1543848739466347E-2</c:v>
                </c:pt>
                <c:pt idx="17">
                  <c:v>6.1543848739466347E-2</c:v>
                </c:pt>
                <c:pt idx="18">
                  <c:v>6.1543848739466347E-2</c:v>
                </c:pt>
                <c:pt idx="19">
                  <c:v>6.1543848739466347E-2</c:v>
                </c:pt>
                <c:pt idx="20">
                  <c:v>6.1543848739466347E-2</c:v>
                </c:pt>
                <c:pt idx="21">
                  <c:v>3.7506434100536605E-2</c:v>
                </c:pt>
                <c:pt idx="22">
                  <c:v>3.7506434100536605E-2</c:v>
                </c:pt>
                <c:pt idx="23">
                  <c:v>3.7506434100536605E-2</c:v>
                </c:pt>
                <c:pt idx="24">
                  <c:v>3.7506434100536605E-2</c:v>
                </c:pt>
                <c:pt idx="25">
                  <c:v>3.7506434100536605E-2</c:v>
                </c:pt>
                <c:pt idx="26">
                  <c:v>3.7506434100536605E-2</c:v>
                </c:pt>
                <c:pt idx="27">
                  <c:v>3.7506434100536605E-2</c:v>
                </c:pt>
                <c:pt idx="28">
                  <c:v>3.7506434100536605E-2</c:v>
                </c:pt>
                <c:pt idx="29">
                  <c:v>3.7506434100536605E-2</c:v>
                </c:pt>
                <c:pt idx="30">
                  <c:v>3.7506434100536605E-2</c:v>
                </c:pt>
                <c:pt idx="31">
                  <c:v>4.9823055453199108E-2</c:v>
                </c:pt>
                <c:pt idx="32">
                  <c:v>4.9823055453199108E-2</c:v>
                </c:pt>
                <c:pt idx="33">
                  <c:v>4.9823055453199108E-2</c:v>
                </c:pt>
                <c:pt idx="34">
                  <c:v>4.9823055453199108E-2</c:v>
                </c:pt>
                <c:pt idx="35">
                  <c:v>4.9823055453199108E-2</c:v>
                </c:pt>
                <c:pt idx="36">
                  <c:v>4.9823055453199108E-2</c:v>
                </c:pt>
                <c:pt idx="37">
                  <c:v>4.9823055453199108E-2</c:v>
                </c:pt>
                <c:pt idx="38">
                  <c:v>4.9823055453199108E-2</c:v>
                </c:pt>
                <c:pt idx="39">
                  <c:v>4.9823055453199108E-2</c:v>
                </c:pt>
                <c:pt idx="40">
                  <c:v>4.9823055453199108E-2</c:v>
                </c:pt>
                <c:pt idx="41">
                  <c:v>4.9688665317126131E-2</c:v>
                </c:pt>
                <c:pt idx="42">
                  <c:v>4.9688665317126131E-2</c:v>
                </c:pt>
                <c:pt idx="43">
                  <c:v>4.9688665317126131E-2</c:v>
                </c:pt>
                <c:pt idx="44">
                  <c:v>4.9688665317126131E-2</c:v>
                </c:pt>
                <c:pt idx="45">
                  <c:v>4.9688665317126131E-2</c:v>
                </c:pt>
                <c:pt idx="46">
                  <c:v>4.9688665317126131E-2</c:v>
                </c:pt>
                <c:pt idx="47">
                  <c:v>4.9688665317126131E-2</c:v>
                </c:pt>
                <c:pt idx="48">
                  <c:v>4.9688665317126131E-2</c:v>
                </c:pt>
                <c:pt idx="49">
                  <c:v>4.9688665317126131E-2</c:v>
                </c:pt>
                <c:pt idx="50">
                  <c:v>4.9688665317126131E-2</c:v>
                </c:pt>
                <c:pt idx="51">
                  <c:v>4.9823066298442485E-2</c:v>
                </c:pt>
                <c:pt idx="52">
                  <c:v>4.9823066298442485E-2</c:v>
                </c:pt>
                <c:pt idx="53">
                  <c:v>4.9823066298442485E-2</c:v>
                </c:pt>
                <c:pt idx="54">
                  <c:v>4.9823066298442485E-2</c:v>
                </c:pt>
                <c:pt idx="55">
                  <c:v>4.9823066298442485E-2</c:v>
                </c:pt>
                <c:pt idx="56">
                  <c:v>4.9823066298442485E-2</c:v>
                </c:pt>
                <c:pt idx="57">
                  <c:v>4.9823066298442485E-2</c:v>
                </c:pt>
                <c:pt idx="58">
                  <c:v>4.9823066298442485E-2</c:v>
                </c:pt>
                <c:pt idx="59">
                  <c:v>4.9823066298442485E-2</c:v>
                </c:pt>
                <c:pt idx="60">
                  <c:v>4.9823066298442485E-2</c:v>
                </c:pt>
                <c:pt idx="61">
                  <c:v>4.9823066298442485E-2</c:v>
                </c:pt>
                <c:pt idx="62">
                  <c:v>4.9823066298442485E-2</c:v>
                </c:pt>
                <c:pt idx="63">
                  <c:v>4.9823066298442485E-2</c:v>
                </c:pt>
                <c:pt idx="64">
                  <c:v>4.9823066298442485E-2</c:v>
                </c:pt>
                <c:pt idx="65">
                  <c:v>4.9823066298442485E-2</c:v>
                </c:pt>
                <c:pt idx="66">
                  <c:v>4.9823066298442485E-2</c:v>
                </c:pt>
                <c:pt idx="67">
                  <c:v>4.9823066298442485E-2</c:v>
                </c:pt>
                <c:pt idx="68">
                  <c:v>4.9823066298442485E-2</c:v>
                </c:pt>
                <c:pt idx="69">
                  <c:v>4.9823066298442485E-2</c:v>
                </c:pt>
                <c:pt idx="70">
                  <c:v>4.9823066298442485E-2</c:v>
                </c:pt>
                <c:pt idx="71">
                  <c:v>4.9823066298442485E-2</c:v>
                </c:pt>
                <c:pt idx="72">
                  <c:v>4.9823066298442485E-2</c:v>
                </c:pt>
                <c:pt idx="73">
                  <c:v>4.9823066298442485E-2</c:v>
                </c:pt>
                <c:pt idx="74">
                  <c:v>4.9823066298442485E-2</c:v>
                </c:pt>
                <c:pt idx="75">
                  <c:v>4.9823066298442485E-2</c:v>
                </c:pt>
                <c:pt idx="76">
                  <c:v>4.9823066298442485E-2</c:v>
                </c:pt>
                <c:pt idx="77">
                  <c:v>4.9823066298442485E-2</c:v>
                </c:pt>
                <c:pt idx="78">
                  <c:v>4.9823066298442485E-2</c:v>
                </c:pt>
                <c:pt idx="79">
                  <c:v>4.9823066298442485E-2</c:v>
                </c:pt>
                <c:pt idx="80">
                  <c:v>4.9823066298442485E-2</c:v>
                </c:pt>
                <c:pt idx="81">
                  <c:v>4.9688666758971364E-2</c:v>
                </c:pt>
                <c:pt idx="82">
                  <c:v>4.9688666758971364E-2</c:v>
                </c:pt>
                <c:pt idx="83">
                  <c:v>4.9688666758971364E-2</c:v>
                </c:pt>
                <c:pt idx="84">
                  <c:v>4.9688666758971364E-2</c:v>
                </c:pt>
                <c:pt idx="85">
                  <c:v>4.9688666758971364E-2</c:v>
                </c:pt>
                <c:pt idx="86">
                  <c:v>4.9688666758971364E-2</c:v>
                </c:pt>
                <c:pt idx="87">
                  <c:v>4.9688666758971364E-2</c:v>
                </c:pt>
                <c:pt idx="88">
                  <c:v>4.9688666758971364E-2</c:v>
                </c:pt>
                <c:pt idx="89">
                  <c:v>4.9688666758971364E-2</c:v>
                </c:pt>
                <c:pt idx="90">
                  <c:v>4.9688666758971364E-2</c:v>
                </c:pt>
                <c:pt idx="91">
                  <c:v>4.9823066298217138E-2</c:v>
                </c:pt>
                <c:pt idx="92">
                  <c:v>4.9823066298217138E-2</c:v>
                </c:pt>
                <c:pt idx="93">
                  <c:v>4.9823066298217138E-2</c:v>
                </c:pt>
                <c:pt idx="94">
                  <c:v>4.9823066298217138E-2</c:v>
                </c:pt>
                <c:pt idx="95">
                  <c:v>4.9823066298217138E-2</c:v>
                </c:pt>
                <c:pt idx="96">
                  <c:v>4.9823066298217138E-2</c:v>
                </c:pt>
                <c:pt idx="97">
                  <c:v>4.9823066298217138E-2</c:v>
                </c:pt>
                <c:pt idx="98">
                  <c:v>4.9823066298217138E-2</c:v>
                </c:pt>
                <c:pt idx="99">
                  <c:v>4.9823066298217138E-2</c:v>
                </c:pt>
                <c:pt idx="100">
                  <c:v>4.9823066298217138E-2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5-4570-9F3F-EEFA829C5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138832"/>
        <c:axId val="289154672"/>
      </c:scatterChart>
      <c:valAx>
        <c:axId val="28913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54672"/>
        <c:crosses val="autoZero"/>
        <c:crossBetween val="midCat"/>
      </c:valAx>
      <c:valAx>
        <c:axId val="28915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3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242454</xdr:rowOff>
    </xdr:from>
    <xdr:to>
      <xdr:col>9</xdr:col>
      <xdr:colOff>0</xdr:colOff>
      <xdr:row>20</xdr:row>
      <xdr:rowOff>242453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81DCF0-E12E-4895-F818-F09A4FB31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225136</xdr:colOff>
      <xdr:row>4</xdr:row>
      <xdr:rowOff>230333</xdr:rowOff>
    </xdr:from>
    <xdr:to>
      <xdr:col>14</xdr:col>
      <xdr:colOff>554182</xdr:colOff>
      <xdr:row>16</xdr:row>
      <xdr:rowOff>64078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CF8C2A-8671-2722-4FB4-852E4DB699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A81D-C5B8-44E1-B499-71D23FEEDB1B}">
  <dimension ref="B2:E7"/>
  <sheetViews>
    <sheetView zoomScale="110" zoomScaleNormal="110" workbookViewId="0"/>
  </sheetViews>
  <sheetFormatPr defaultRowHeight="18.75" x14ac:dyDescent="0.3"/>
  <cols>
    <col min="1" max="1" width="3.59765625" customWidth="1"/>
    <col min="2" max="2" width="28.3984375" bestFit="1" customWidth="1"/>
    <col min="3" max="3" width="3" bestFit="1" customWidth="1"/>
    <col min="4" max="4" width="29.59765625" bestFit="1" customWidth="1"/>
    <col min="5" max="5" width="11.59765625" bestFit="1" customWidth="1"/>
    <col min="7" max="7" width="11.69921875" bestFit="1" customWidth="1"/>
  </cols>
  <sheetData>
    <row r="2" spans="2:5" x14ac:dyDescent="0.3">
      <c r="B2" s="1" t="s">
        <v>21</v>
      </c>
      <c r="C2" s="1"/>
      <c r="D2" s="1" t="s">
        <v>22</v>
      </c>
    </row>
    <row r="3" spans="2:5" x14ac:dyDescent="0.3">
      <c r="B3" t="s">
        <v>23</v>
      </c>
      <c r="C3" cm="1">
        <f t="array" ref="C3">_xll.ENUM(B3)</f>
        <v>1</v>
      </c>
      <c r="D3" t="s">
        <v>27</v>
      </c>
      <c r="E3" s="5" cm="1">
        <f t="array" ref="E3">_xll.ENUM(D3)</f>
        <v>140716919108667</v>
      </c>
    </row>
    <row r="4" spans="2:5" x14ac:dyDescent="0.3">
      <c r="B4" t="s">
        <v>24</v>
      </c>
      <c r="C4" cm="1">
        <f t="array" ref="C4">_xll.ENUM(B4)</f>
        <v>2</v>
      </c>
      <c r="D4" t="s">
        <v>28</v>
      </c>
      <c r="E4" s="5" cm="1">
        <f t="array" ref="E4">_xll.ENUM(D4)</f>
        <v>140716919101427</v>
      </c>
    </row>
    <row r="5" spans="2:5" x14ac:dyDescent="0.3">
      <c r="B5" t="s">
        <v>25</v>
      </c>
      <c r="C5" cm="1">
        <f t="array" ref="C5">_xll.ENUM(B5)</f>
        <v>4</v>
      </c>
      <c r="D5" t="s">
        <v>29</v>
      </c>
      <c r="E5" s="5" cm="1">
        <f t="array" ref="E5">_xll.ENUM(D5)</f>
        <v>140716919107042</v>
      </c>
    </row>
    <row r="6" spans="2:5" x14ac:dyDescent="0.3">
      <c r="B6" t="s">
        <v>26</v>
      </c>
      <c r="C6" cm="1">
        <f t="array" ref="C6">_xll.ENUM(B6)</f>
        <v>12</v>
      </c>
      <c r="D6" t="s">
        <v>30</v>
      </c>
      <c r="E6" s="5" cm="1">
        <f t="array" ref="E6">_xll.ENUM(D6)</f>
        <v>140716919112232</v>
      </c>
    </row>
    <row r="7" spans="2:5" x14ac:dyDescent="0.3">
      <c r="D7" t="s">
        <v>31</v>
      </c>
      <c r="E7" s="5" cm="1">
        <f t="array" ref="E7">_xll.ENUM(D7)</f>
        <v>140716919143762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6F0E-62B3-47B5-8C49-DACF71BB425D}">
  <dimension ref="B2:E9"/>
  <sheetViews>
    <sheetView workbookViewId="0">
      <selection activeCell="D10" sqref="D10"/>
    </sheetView>
  </sheetViews>
  <sheetFormatPr defaultRowHeight="18.75" x14ac:dyDescent="0.3"/>
  <cols>
    <col min="1" max="1" width="3.69921875" customWidth="1"/>
    <col min="5" max="5" width="12.296875" bestFit="1" customWidth="1"/>
  </cols>
  <sheetData>
    <row r="2" spans="2:5" x14ac:dyDescent="0.3">
      <c r="B2" s="3" t="s">
        <v>41</v>
      </c>
      <c r="C2" s="9">
        <f ca="1">50 + 100*RAND()</f>
        <v>87.781066393534559</v>
      </c>
    </row>
    <row r="3" spans="2:5" x14ac:dyDescent="0.3">
      <c r="B3" s="3" t="s">
        <v>42</v>
      </c>
      <c r="C3" s="9">
        <f ca="1">0.01 + 0.3*RAND()</f>
        <v>0.21477371143465818</v>
      </c>
    </row>
    <row r="4" spans="2:5" x14ac:dyDescent="0.3">
      <c r="B4" s="3" t="s">
        <v>43</v>
      </c>
      <c r="C4" s="9">
        <f ca="1">50 + 100*RAND()</f>
        <v>127.28850171233745</v>
      </c>
    </row>
    <row r="5" spans="2:5" x14ac:dyDescent="0.3">
      <c r="B5" s="10" t="s">
        <v>44</v>
      </c>
      <c r="C5" cm="1">
        <f t="array" aca="1" ref="C5" ca="1">_xll.TMX.BLACK.MONEYNESS(f, s, k)</f>
        <v>1.8376281501577103</v>
      </c>
      <c r="D5">
        <v>1E-3</v>
      </c>
      <c r="E5">
        <f>-D5</f>
        <v>-1E-3</v>
      </c>
    </row>
    <row r="6" spans="2:5" ht="18" customHeight="1" x14ac:dyDescent="0.3">
      <c r="B6" s="10" t="s">
        <v>19</v>
      </c>
      <c r="C6" cm="1">
        <f t="array" aca="1" ref="C6" ca="1">_xll.TMX.BLACK.PUT.VALUE(f, s, k)</f>
        <v>39.891305153484211</v>
      </c>
      <c r="D6" cm="1">
        <f t="array" aca="1" ref="D6" ca="1">_xll.TMX.BLACK.PUT.VALUE(f + D5, s, k)</f>
        <v>39.890357466582188</v>
      </c>
      <c r="E6" cm="1">
        <f t="array" aca="1" ref="E6" ca="1">_xll.TMX.BLACK.PUT.VALUE(f + E5, s, k)</f>
        <v>39.892252846056905</v>
      </c>
    </row>
    <row r="7" spans="2:5" x14ac:dyDescent="0.3">
      <c r="B7" s="10" t="s">
        <v>45</v>
      </c>
      <c r="C7" cm="1">
        <f t="array" aca="1" ref="C7" ca="1">_xll.TMX.BLACK.PUT.DELTA(f, s, k)</f>
        <v>-0.9476897374305282</v>
      </c>
      <c r="D7">
        <f ca="1">(D6-E6)/(D5-E5)</f>
        <v>-0.94768973735881445</v>
      </c>
      <c r="E7">
        <f ca="1">(C7-D7)/C7</f>
        <v>7.5672177528348981E-11</v>
      </c>
    </row>
    <row r="8" spans="2:5" x14ac:dyDescent="0.3">
      <c r="B8" s="10" t="s">
        <v>46</v>
      </c>
      <c r="C8" cm="1">
        <f t="array" aca="1" ref="C8" ca="1">_xll.TMX.BLACK.GAMMA(f, s, k)</f>
        <v>5.6707022208863549E-3</v>
      </c>
      <c r="D8">
        <f ca="1">(D6-2*C6+E6)/(D5^2)</f>
        <v>5.6706710438447772E-3</v>
      </c>
      <c r="E8">
        <f t="shared" ref="E8:E9" ca="1" si="0">(C8-D8)/C8</f>
        <v>5.4979154897095681E-6</v>
      </c>
    </row>
    <row r="9" spans="2:5" x14ac:dyDescent="0.3">
      <c r="B9" s="10" t="s">
        <v>47</v>
      </c>
      <c r="C9" cm="1">
        <f t="array" aca="1" ref="C9" ca="1">_xll.TMX.BLACK.VEGA(f, s, k)</f>
        <v>9.384684338779703</v>
      </c>
      <c r="D9" cm="1">
        <f t="array" aca="1" ref="D9" ca="1">(_xll.TMX.BLACK.PUT.VALUE(f, s + D5, k) - _xll.TMX.BLACK.PUT.VALUE(f, s + E5, k))/(D5 - E5)</f>
        <v>9.3846809783499907</v>
      </c>
      <c r="E9">
        <f t="shared" ca="1" si="0"/>
        <v>3.5807594490818332E-7</v>
      </c>
    </row>
  </sheetData>
  <pageMargins left="0.7" right="0.7" top="0.75" bottom="0.75" header="0.3" footer="0.3"/>
  <pageSetup orientation="portrait" r:id="rId1"/>
  <ignoredErrors>
    <ignoredError sqref="C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D46C-D019-4BB0-8142-A427C42D3B36}">
  <dimension ref="B2:D11"/>
  <sheetViews>
    <sheetView zoomScale="110" zoomScaleNormal="110" workbookViewId="0">
      <selection activeCell="H7" sqref="H7"/>
    </sheetView>
  </sheetViews>
  <sheetFormatPr defaultRowHeight="18.75" x14ac:dyDescent="0.3"/>
  <cols>
    <col min="1" max="1" width="3.59765625" customWidth="1"/>
    <col min="3" max="3" width="12.19921875" bestFit="1" customWidth="1"/>
    <col min="4" max="4" width="10.3984375" bestFit="1" customWidth="1"/>
  </cols>
  <sheetData>
    <row r="2" spans="2:4" x14ac:dyDescent="0.3">
      <c r="B2" s="3" t="s">
        <v>8</v>
      </c>
      <c r="C2" s="8">
        <f ca="1">TODAY()</f>
        <v>45113</v>
      </c>
    </row>
    <row r="3" spans="2:4" x14ac:dyDescent="0.3">
      <c r="B3" s="3" t="s">
        <v>9</v>
      </c>
      <c r="C3" s="9">
        <f ca="1">10*RAND()</f>
        <v>8.0037089814204663</v>
      </c>
    </row>
    <row r="4" spans="2:4" ht="19.5" thickBot="1" x14ac:dyDescent="0.35">
      <c r="B4" s="10" t="s">
        <v>10</v>
      </c>
      <c r="C4" s="2" cm="1">
        <f t="array" aca="1" ref="C4" ca="1">_xll.TMX.DATE.ADD_YEARS(date,years)</f>
        <v>48036.294675925928</v>
      </c>
      <c r="D4">
        <f ca="1">C4</f>
        <v>48036.294675925928</v>
      </c>
    </row>
    <row r="5" spans="2:4" ht="20.25" thickTop="1" thickBot="1" x14ac:dyDescent="0.35">
      <c r="B5" s="3"/>
      <c r="C5" s="2" cm="1">
        <f t="array" aca="1" ref="C5" ca="1">_xll.TMX.DATE.ADD_YEARS(C4,-years)</f>
        <v>45113</v>
      </c>
      <c r="D5" s="7">
        <f ca="1">C5-date</f>
        <v>0</v>
      </c>
    </row>
    <row r="6" spans="2:4" ht="19.5" thickTop="1" x14ac:dyDescent="0.3">
      <c r="B6" s="10" t="s">
        <v>11</v>
      </c>
      <c r="C6" cm="1">
        <f t="array" aca="1" ref="C6" ca="1">_xll.TMX.DATE.SUB_YEARS(C4,date)</f>
        <v>8.0029021814274071</v>
      </c>
    </row>
    <row r="7" spans="2:4" ht="19.5" thickBot="1" x14ac:dyDescent="0.35">
      <c r="B7" s="3"/>
      <c r="C7" s="2" cm="1">
        <f t="array" aca="1" ref="C7" ca="1">_xll.TMX.DATE.ADD_YEARS(date,C6)</f>
        <v>48036</v>
      </c>
      <c r="D7">
        <f ca="1">C7</f>
        <v>48036</v>
      </c>
    </row>
    <row r="8" spans="2:4" ht="20.25" thickTop="1" thickBot="1" x14ac:dyDescent="0.35">
      <c r="B8" s="3" t="s">
        <v>15</v>
      </c>
      <c r="C8" s="9">
        <v>1</v>
      </c>
      <c r="D8" s="7">
        <f ca="1">-years_ + YEAR(C11)-YEAR(date)</f>
        <v>0</v>
      </c>
    </row>
    <row r="9" spans="2:4" ht="20.25" thickTop="1" thickBot="1" x14ac:dyDescent="0.35">
      <c r="B9" s="3" t="s">
        <v>12</v>
      </c>
      <c r="C9" s="9">
        <v>2</v>
      </c>
      <c r="D9" s="7">
        <f ca="1">-months + MONTH(C11)-MONTH(date)</f>
        <v>0</v>
      </c>
    </row>
    <row r="10" spans="2:4" ht="20.25" thickTop="1" thickBot="1" x14ac:dyDescent="0.35">
      <c r="B10" s="3" t="s">
        <v>13</v>
      </c>
      <c r="C10" s="9">
        <v>3</v>
      </c>
      <c r="D10" s="7">
        <f ca="1">-days + DATE(YEAR(date),MONTH(date),DAY(C11))-date</f>
        <v>0</v>
      </c>
    </row>
    <row r="11" spans="2:4" ht="19.5" thickTop="1" x14ac:dyDescent="0.3">
      <c r="B11" s="10" t="s">
        <v>14</v>
      </c>
      <c r="C11" s="2" cm="1">
        <f t="array" aca="1" ref="C11" ca="1">_xll.TMX.DATE.ADD_YMD(date, years_,months, days)</f>
        <v>45544</v>
      </c>
    </row>
  </sheetData>
  <pageMargins left="0.7" right="0.7" top="0.75" bottom="0.75" header="0.3" footer="0.3"/>
  <pageSetup orientation="portrait" horizontalDpi="0" verticalDpi="0" r:id="rId1"/>
  <ignoredErrors>
    <ignoredError xmlns:x16r3="http://schemas.microsoft.com/office/spreadsheetml/2018/08/main" sqref="D4 D7" x16r3:misleadingForma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29FC-4136-41AD-B308-B590D229D902}">
  <dimension ref="B2:O43"/>
  <sheetViews>
    <sheetView zoomScale="110" zoomScaleNormal="110" workbookViewId="0">
      <selection activeCell="L3" sqref="L3"/>
    </sheetView>
  </sheetViews>
  <sheetFormatPr defaultRowHeight="18.75" x14ac:dyDescent="0.3"/>
  <cols>
    <col min="1" max="1" width="3.59765625" customWidth="1"/>
    <col min="4" max="4" width="3.59765625" customWidth="1"/>
    <col min="5" max="6" width="8.69921875" customWidth="1"/>
    <col min="7" max="7" width="3.59765625" customWidth="1"/>
    <col min="9" max="9" width="11.59765625" bestFit="1" customWidth="1"/>
    <col min="10" max="10" width="3.59765625" customWidth="1"/>
  </cols>
  <sheetData>
    <row r="2" spans="2:15" x14ac:dyDescent="0.3">
      <c r="B2" s="1" t="s">
        <v>16</v>
      </c>
      <c r="C2" s="1" t="s">
        <v>17</v>
      </c>
      <c r="H2" s="3" t="s">
        <v>66</v>
      </c>
      <c r="I2">
        <v>1</v>
      </c>
      <c r="K2" s="1" t="s">
        <v>16</v>
      </c>
      <c r="L2" s="1" t="s">
        <v>34</v>
      </c>
      <c r="M2" s="1" t="s">
        <v>37</v>
      </c>
      <c r="N2" s="1" t="s">
        <v>20</v>
      </c>
      <c r="O2" s="1" t="s">
        <v>64</v>
      </c>
    </row>
    <row r="3" spans="2:15" x14ac:dyDescent="0.3">
      <c r="B3" s="9">
        <v>1</v>
      </c>
      <c r="C3" s="15">
        <f ca="1">RAND()</f>
        <v>0.49799801559335011</v>
      </c>
      <c r="E3" cm="1">
        <f t="array" aca="1" ref="E3:F6" ca="1">TRANSPOSE(_xll.TMX.PWFLAT.CURVE(curve))</f>
        <v>1</v>
      </c>
      <c r="F3" s="16">
        <f ca="1"/>
        <v>0.49799801559335011</v>
      </c>
      <c r="G3" s="16"/>
      <c r="H3" s="3" t="s">
        <v>7</v>
      </c>
      <c r="I3" s="5" cm="1">
        <f t="array" aca="1" ref="I3" ca="1">_xll.\TMX.PWFLAT.CURVE(time, rate, extrapolate)</f>
        <v>2207344032928</v>
      </c>
      <c r="K3" cm="1">
        <f t="array" ref="K3:K43">_xlfn.SEQUENCE(1+4/0.1,1,0,0.1)</f>
        <v>0</v>
      </c>
      <c r="L3" cm="1">
        <f t="array" aca="1" ref="L3" ca="1">_xll.TMX.PWFLAT.CURVE.FORWARD(curve,K3,translate)</f>
        <v>0.49799801559335011</v>
      </c>
      <c r="M3" cm="1">
        <f t="array" aca="1" ref="M3" ca="1">_xll.TMX.PWFLAT.CURVE.YIELD(curve,K3,translate)</f>
        <v>0.2</v>
      </c>
      <c r="N3" cm="1">
        <f t="array" aca="1" ref="N3" ca="1">_xll.TMX.PWFLAT.CURVE.DISCOUNT(curve,K3,translate)</f>
        <v>1</v>
      </c>
      <c r="O3" cm="1">
        <f t="array" aca="1" ref="O3" ca="1">_xll.TMX.PWFLAT.CURVE.FORWARD(shift,K3)</f>
        <v>0.59799801559335009</v>
      </c>
    </row>
    <row r="4" spans="2:15" x14ac:dyDescent="0.3">
      <c r="B4" s="9">
        <v>2</v>
      </c>
      <c r="C4" s="9">
        <v>0.2</v>
      </c>
      <c r="E4">
        <f ca="1"/>
        <v>2</v>
      </c>
      <c r="F4">
        <f ca="1"/>
        <v>0.2</v>
      </c>
      <c r="H4" s="3" t="s">
        <v>63</v>
      </c>
      <c r="I4">
        <v>0.1</v>
      </c>
      <c r="K4">
        <v>0.1</v>
      </c>
      <c r="L4" cm="1">
        <f t="array" aca="1" ref="L4" ca="1">_xll.TMX.PWFLAT.CURVE.FORWARD(curve,K4,translate)</f>
        <v>0.2</v>
      </c>
      <c r="M4" cm="1">
        <f t="array" aca="1" ref="M4" ca="1">_xll.TMX.PWFLAT.CURVE.YIELD(curve,K4,translate)</f>
        <v>0.2</v>
      </c>
      <c r="N4" cm="1">
        <f t="array" aca="1" ref="N4" ca="1">_xll.TMX.PWFLAT.CURVE.DISCOUNT(curve,K4,translate)</f>
        <v>0.98019867330675525</v>
      </c>
      <c r="O4" cm="1">
        <f t="array" aca="1" ref="O4" ca="1">_xll.TMX.PWFLAT.CURVE.FORWARD(shift,K4)</f>
        <v>0.59799801559335009</v>
      </c>
    </row>
    <row r="5" spans="2:15" x14ac:dyDescent="0.3">
      <c r="B5" s="9">
        <v>3</v>
      </c>
      <c r="C5" s="9">
        <v>0.3</v>
      </c>
      <c r="E5">
        <f ca="1"/>
        <v>3</v>
      </c>
      <c r="F5">
        <f ca="1"/>
        <v>0.3</v>
      </c>
      <c r="H5" s="3" t="s">
        <v>64</v>
      </c>
      <c r="I5" s="5" cm="1">
        <f t="array" aca="1" ref="I5" ca="1">_xll.\TMX.PWFLAT.CURVE.SHIFT(curve,spread)</f>
        <v>2207344029056</v>
      </c>
      <c r="K5">
        <v>0.2</v>
      </c>
      <c r="L5" cm="1">
        <f t="array" aca="1" ref="L5" ca="1">_xll.TMX.PWFLAT.CURVE.FORWARD(curve,K5,translate)</f>
        <v>0.2</v>
      </c>
      <c r="M5" cm="1">
        <f t="array" aca="1" ref="M5" ca="1">_xll.TMX.PWFLAT.CURVE.YIELD(curve,K5,translate)</f>
        <v>0.2</v>
      </c>
      <c r="N5" cm="1">
        <f t="array" aca="1" ref="N5" ca="1">_xll.TMX.PWFLAT.CURVE.DISCOUNT(curve,K5,translate)</f>
        <v>0.96078943915232318</v>
      </c>
      <c r="O5" cm="1">
        <f t="array" aca="1" ref="O5" ca="1">_xll.TMX.PWFLAT.CURVE.FORWARD(shift,K5)</f>
        <v>0.59799801559335009</v>
      </c>
    </row>
    <row r="6" spans="2:15" x14ac:dyDescent="0.3">
      <c r="B6" s="3" t="s">
        <v>18</v>
      </c>
      <c r="C6" s="9">
        <v>0.4</v>
      </c>
      <c r="E6">
        <f ca="1"/>
        <v>3</v>
      </c>
      <c r="F6">
        <f ca="1"/>
        <v>0.4</v>
      </c>
      <c r="H6" s="3"/>
      <c r="I6" s="5"/>
      <c r="K6">
        <v>0.30000000000000004</v>
      </c>
      <c r="L6" cm="1">
        <f t="array" aca="1" ref="L6" ca="1">_xll.TMX.PWFLAT.CURVE.FORWARD(curve,K6,translate)</f>
        <v>0.2</v>
      </c>
      <c r="M6" cm="1">
        <f t="array" aca="1" ref="M6" ca="1">_xll.TMX.PWFLAT.CURVE.YIELD(curve,K6,translate)</f>
        <v>0.2</v>
      </c>
      <c r="N6" cm="1">
        <f t="array" aca="1" ref="N6" ca="1">_xll.TMX.PWFLAT.CURVE.DISCOUNT(curve,K6,translate)</f>
        <v>0.94176453358424872</v>
      </c>
      <c r="O6" cm="1">
        <f t="array" aca="1" ref="O6" ca="1">_xll.TMX.PWFLAT.CURVE.FORWARD(shift,K6)</f>
        <v>0.59799801559335009</v>
      </c>
    </row>
    <row r="7" spans="2:15" x14ac:dyDescent="0.3">
      <c r="K7">
        <v>0.4</v>
      </c>
      <c r="L7" cm="1">
        <f t="array" aca="1" ref="L7" ca="1">_xll.TMX.PWFLAT.CURVE.FORWARD(curve,K7,translate)</f>
        <v>0.2</v>
      </c>
      <c r="M7" cm="1">
        <f t="array" aca="1" ref="M7" ca="1">_xll.TMX.PWFLAT.CURVE.YIELD(curve,K7,translate)</f>
        <v>0.2</v>
      </c>
      <c r="N7" cm="1">
        <f t="array" aca="1" ref="N7" ca="1">_xll.TMX.PWFLAT.CURVE.DISCOUNT(curve,K7,translate)</f>
        <v>0.92311634638663576</v>
      </c>
      <c r="O7" cm="1">
        <f t="array" aca="1" ref="O7" ca="1">_xll.TMX.PWFLAT.CURVE.FORWARD(shift,K7)</f>
        <v>0.59799801559335009</v>
      </c>
    </row>
    <row r="8" spans="2:15" x14ac:dyDescent="0.3">
      <c r="K8">
        <v>0.5</v>
      </c>
      <c r="L8" cm="1">
        <f t="array" aca="1" ref="L8" ca="1">_xll.TMX.PWFLAT.CURVE.FORWARD(curve,K8,translate)</f>
        <v>0.2</v>
      </c>
      <c r="M8" cm="1">
        <f t="array" aca="1" ref="M8" ca="1">_xll.TMX.PWFLAT.CURVE.YIELD(curve,K8,translate)</f>
        <v>0.2</v>
      </c>
      <c r="N8" cm="1">
        <f t="array" aca="1" ref="N8" ca="1">_xll.TMX.PWFLAT.CURVE.DISCOUNT(curve,K8,translate)</f>
        <v>0.90483741803595952</v>
      </c>
      <c r="O8" cm="1">
        <f t="array" aca="1" ref="O8" ca="1">_xll.TMX.PWFLAT.CURVE.FORWARD(shift,K8)</f>
        <v>0.59799801559335009</v>
      </c>
    </row>
    <row r="9" spans="2:15" x14ac:dyDescent="0.3">
      <c r="K9">
        <v>0.6</v>
      </c>
      <c r="L9" cm="1">
        <f t="array" aca="1" ref="L9" ca="1">_xll.TMX.PWFLAT.CURVE.FORWARD(curve,K9,translate)</f>
        <v>0.2</v>
      </c>
      <c r="M9" cm="1">
        <f t="array" aca="1" ref="M9" ca="1">_xll.TMX.PWFLAT.CURVE.YIELD(curve,K9,translate)</f>
        <v>0.2</v>
      </c>
      <c r="N9" cm="1">
        <f t="array" aca="1" ref="N9" ca="1">_xll.TMX.PWFLAT.CURVE.DISCOUNT(curve,K9,translate)</f>
        <v>0.88692043671715748</v>
      </c>
      <c r="O9" cm="1">
        <f t="array" aca="1" ref="O9" ca="1">_xll.TMX.PWFLAT.CURVE.FORWARD(shift,K9)</f>
        <v>0.59799801559335009</v>
      </c>
    </row>
    <row r="10" spans="2:15" x14ac:dyDescent="0.3">
      <c r="K10">
        <v>0.7</v>
      </c>
      <c r="L10" cm="1">
        <f t="array" aca="1" ref="L10" ca="1">_xll.TMX.PWFLAT.CURVE.FORWARD(curve,K10,translate)</f>
        <v>0.2</v>
      </c>
      <c r="M10" cm="1">
        <f t="array" aca="1" ref="M10" ca="1">_xll.TMX.PWFLAT.CURVE.YIELD(curve,K10,translate)</f>
        <v>0.2</v>
      </c>
      <c r="N10" cm="1">
        <f t="array" aca="1" ref="N10" ca="1">_xll.TMX.PWFLAT.CURVE.DISCOUNT(curve,K10,translate)</f>
        <v>0.86935823539880586</v>
      </c>
      <c r="O10" cm="1">
        <f t="array" aca="1" ref="O10" ca="1">_xll.TMX.PWFLAT.CURVE.FORWARD(shift,K10)</f>
        <v>0.59799801559335009</v>
      </c>
    </row>
    <row r="11" spans="2:15" x14ac:dyDescent="0.3">
      <c r="K11">
        <v>0.79999999999999993</v>
      </c>
      <c r="L11" cm="1">
        <f t="array" aca="1" ref="L11" ca="1">_xll.TMX.PWFLAT.CURVE.FORWARD(curve,K11,translate)</f>
        <v>0.2</v>
      </c>
      <c r="M11" cm="1">
        <f t="array" aca="1" ref="M11" ca="1">_xll.TMX.PWFLAT.CURVE.YIELD(curve,K11,translate)</f>
        <v>0.2</v>
      </c>
      <c r="N11" cm="1">
        <f t="array" aca="1" ref="N11" ca="1">_xll.TMX.PWFLAT.CURVE.DISCOUNT(curve,K11,translate)</f>
        <v>0.85214378896621135</v>
      </c>
      <c r="O11" cm="1">
        <f t="array" aca="1" ref="O11" ca="1">_xll.TMX.PWFLAT.CURVE.FORWARD(shift,K11)</f>
        <v>0.59799801559335009</v>
      </c>
    </row>
    <row r="12" spans="2:15" x14ac:dyDescent="0.3">
      <c r="K12">
        <v>0.89999999999999991</v>
      </c>
      <c r="L12" cm="1">
        <f t="array" aca="1" ref="L12" ca="1">_xll.TMX.PWFLAT.CURVE.FORWARD(curve,K12,translate)</f>
        <v>0.2</v>
      </c>
      <c r="M12" cm="1">
        <f t="array" aca="1" ref="M12" ca="1">_xll.TMX.PWFLAT.CURVE.YIELD(curve,K12,translate)</f>
        <v>0.2</v>
      </c>
      <c r="N12" cm="1">
        <f t="array" aca="1" ref="N12" ca="1">_xll.TMX.PWFLAT.CURVE.DISCOUNT(curve,K12,translate)</f>
        <v>0.835270211411272</v>
      </c>
      <c r="O12" cm="1">
        <f t="array" aca="1" ref="O12" ca="1">_xll.TMX.PWFLAT.CURVE.FORWARD(shift,K12)</f>
        <v>0.59799801559335009</v>
      </c>
    </row>
    <row r="13" spans="2:15" x14ac:dyDescent="0.3">
      <c r="K13">
        <v>0.99999999999999989</v>
      </c>
      <c r="L13" cm="1">
        <f t="array" aca="1" ref="L13" ca="1">_xll.TMX.PWFLAT.CURVE.FORWARD(curve,K13,translate)</f>
        <v>0.2</v>
      </c>
      <c r="M13" cm="1">
        <f t="array" aca="1" ref="M13" ca="1">_xll.TMX.PWFLAT.CURVE.YIELD(curve,K13,translate)</f>
        <v>0.2</v>
      </c>
      <c r="N13" cm="1">
        <f t="array" aca="1" ref="N13" ca="1">_xll.TMX.PWFLAT.CURVE.DISCOUNT(curve,K13,translate)</f>
        <v>0.81873075307798182</v>
      </c>
      <c r="O13" cm="1">
        <f t="array" aca="1" ref="O13" ca="1">_xll.TMX.PWFLAT.CURVE.FORWARD(shift,K13)</f>
        <v>0.59799801559335009</v>
      </c>
    </row>
    <row r="14" spans="2:15" x14ac:dyDescent="0.3">
      <c r="K14">
        <v>1.0999999999999999</v>
      </c>
      <c r="L14" cm="1">
        <f t="array" aca="1" ref="L14" ca="1">_xll.TMX.PWFLAT.CURVE.FORWARD(curve,K14,translate)</f>
        <v>0.3</v>
      </c>
      <c r="M14" cm="1">
        <f t="array" aca="1" ref="M14" ca="1">_xll.TMX.PWFLAT.CURVE.YIELD(curve,K14,translate)</f>
        <v>0.20909090909090908</v>
      </c>
      <c r="N14" cm="1">
        <f t="array" aca="1" ref="N14" ca="1">_xll.TMX.PWFLAT.CURVE.DISCOUNT(curve,K14,translate)</f>
        <v>0.79453360250333405</v>
      </c>
      <c r="O14" cm="1">
        <f t="array" aca="1" ref="O14" ca="1">_xll.TMX.PWFLAT.CURVE.FORWARD(shift,K14)</f>
        <v>0.30000000000000004</v>
      </c>
    </row>
    <row r="15" spans="2:15" x14ac:dyDescent="0.3">
      <c r="K15">
        <v>1.2</v>
      </c>
      <c r="L15" cm="1">
        <f t="array" aca="1" ref="L15" ca="1">_xll.TMX.PWFLAT.CURVE.FORWARD(curve,K15,translate)</f>
        <v>0.3</v>
      </c>
      <c r="M15" cm="1">
        <f t="array" aca="1" ref="M15" ca="1">_xll.TMX.PWFLAT.CURVE.YIELD(curve,K15,translate)</f>
        <v>0.2166666666666667</v>
      </c>
      <c r="N15" cm="1">
        <f t="array" aca="1" ref="N15" ca="1">_xll.TMX.PWFLAT.CURVE.DISCOUNT(curve,K15,translate)</f>
        <v>0.77105158580356625</v>
      </c>
      <c r="O15" cm="1">
        <f t="array" aca="1" ref="O15" ca="1">_xll.TMX.PWFLAT.CURVE.FORWARD(shift,K15)</f>
        <v>0.30000000000000004</v>
      </c>
    </row>
    <row r="16" spans="2:15" x14ac:dyDescent="0.3">
      <c r="K16">
        <v>1.3</v>
      </c>
      <c r="L16" cm="1">
        <f t="array" aca="1" ref="L16" ca="1">_xll.TMX.PWFLAT.CURVE.FORWARD(curve,K16,translate)</f>
        <v>0.3</v>
      </c>
      <c r="M16" cm="1">
        <f t="array" aca="1" ref="M16" ca="1">_xll.TMX.PWFLAT.CURVE.YIELD(curve,K16,translate)</f>
        <v>0.22307692307692306</v>
      </c>
      <c r="N16" cm="1">
        <f t="array" aca="1" ref="N16" ca="1">_xll.TMX.PWFLAT.CURVE.DISCOUNT(curve,K16,translate)</f>
        <v>0.74826356757856527</v>
      </c>
      <c r="O16" cm="1">
        <f t="array" aca="1" ref="O16" ca="1">_xll.TMX.PWFLAT.CURVE.FORWARD(shift,K16)</f>
        <v>0.30000000000000004</v>
      </c>
    </row>
    <row r="17" spans="11:15" x14ac:dyDescent="0.3">
      <c r="K17">
        <v>1.4000000000000001</v>
      </c>
      <c r="L17" cm="1">
        <f t="array" aca="1" ref="L17" ca="1">_xll.TMX.PWFLAT.CURVE.FORWARD(curve,K17,translate)</f>
        <v>0.3</v>
      </c>
      <c r="M17" cm="1">
        <f t="array" aca="1" ref="M17" ca="1">_xll.TMX.PWFLAT.CURVE.YIELD(curve,K17,translate)</f>
        <v>0.22857142857142859</v>
      </c>
      <c r="N17" cm="1">
        <f t="array" aca="1" ref="N17" ca="1">_xll.TMX.PWFLAT.CURVE.DISCOUNT(curve,K17,translate)</f>
        <v>0.72614903707369083</v>
      </c>
      <c r="O17" cm="1">
        <f t="array" aca="1" ref="O17" ca="1">_xll.TMX.PWFLAT.CURVE.FORWARD(shift,K17)</f>
        <v>0.30000000000000004</v>
      </c>
    </row>
    <row r="18" spans="11:15" x14ac:dyDescent="0.3">
      <c r="K18">
        <v>1.5000000000000002</v>
      </c>
      <c r="L18" cm="1">
        <f t="array" aca="1" ref="L18" ca="1">_xll.TMX.PWFLAT.CURVE.FORWARD(curve,K18,translate)</f>
        <v>0.3</v>
      </c>
      <c r="M18" cm="1">
        <f t="array" aca="1" ref="M18" ca="1">_xll.TMX.PWFLAT.CURVE.YIELD(curve,K18,translate)</f>
        <v>0.23333333333333331</v>
      </c>
      <c r="N18" cm="1">
        <f t="array" aca="1" ref="N18" ca="1">_xll.TMX.PWFLAT.CURVE.DISCOUNT(curve,K18,translate)</f>
        <v>0.70468808971871344</v>
      </c>
      <c r="O18" cm="1">
        <f t="array" aca="1" ref="O18" ca="1">_xll.TMX.PWFLAT.CURVE.FORWARD(shift,K18)</f>
        <v>0.30000000000000004</v>
      </c>
    </row>
    <row r="19" spans="11:15" x14ac:dyDescent="0.3">
      <c r="K19">
        <v>1.6000000000000003</v>
      </c>
      <c r="L19" cm="1">
        <f t="array" aca="1" ref="L19" ca="1">_xll.TMX.PWFLAT.CURVE.FORWARD(curve,K19,translate)</f>
        <v>0.3</v>
      </c>
      <c r="M19" cm="1">
        <f t="array" aca="1" ref="M19" ca="1">_xll.TMX.PWFLAT.CURVE.YIELD(curve,K19,translate)</f>
        <v>0.23750000000000002</v>
      </c>
      <c r="N19" cm="1">
        <f t="array" aca="1" ref="N19" ca="1">_xll.TMX.PWFLAT.CURVE.DISCOUNT(curve,K19,translate)</f>
        <v>0.68386140921235572</v>
      </c>
      <c r="O19" cm="1">
        <f t="array" aca="1" ref="O19" ca="1">_xll.TMX.PWFLAT.CURVE.FORWARD(shift,K19)</f>
        <v>0.30000000000000004</v>
      </c>
    </row>
    <row r="20" spans="11:15" x14ac:dyDescent="0.3">
      <c r="K20">
        <v>1.7000000000000004</v>
      </c>
      <c r="L20" cm="1">
        <f t="array" aca="1" ref="L20" ca="1">_xll.TMX.PWFLAT.CURVE.FORWARD(curve,K20,translate)</f>
        <v>0.3</v>
      </c>
      <c r="M20" cm="1">
        <f t="array" aca="1" ref="M20" ca="1">_xll.TMX.PWFLAT.CURVE.YIELD(curve,K20,translate)</f>
        <v>0.2411764705882353</v>
      </c>
      <c r="N20" cm="1">
        <f t="array" aca="1" ref="N20" ca="1">_xll.TMX.PWFLAT.CURVE.DISCOUNT(curve,K20,translate)</f>
        <v>0.6636502501363194</v>
      </c>
      <c r="O20" cm="1">
        <f t="array" aca="1" ref="O20" ca="1">_xll.TMX.PWFLAT.CURVE.FORWARD(shift,K20)</f>
        <v>0.30000000000000004</v>
      </c>
    </row>
    <row r="21" spans="11:15" x14ac:dyDescent="0.3">
      <c r="K21">
        <v>1.8000000000000005</v>
      </c>
      <c r="L21" cm="1">
        <f t="array" aca="1" ref="L21" ca="1">_xll.TMX.PWFLAT.CURVE.FORWARD(curve,K21,translate)</f>
        <v>0.3</v>
      </c>
      <c r="M21" cm="1">
        <f t="array" aca="1" ref="M21" ca="1">_xll.TMX.PWFLAT.CURVE.YIELD(curve,K21,translate)</f>
        <v>0.24444444444444446</v>
      </c>
      <c r="N21" cm="1">
        <f t="array" aca="1" ref="N21" ca="1">_xll.TMX.PWFLAT.CURVE.DISCOUNT(curve,K21,translate)</f>
        <v>0.64403642108314119</v>
      </c>
      <c r="O21" cm="1">
        <f t="array" aca="1" ref="O21" ca="1">_xll.TMX.PWFLAT.CURVE.FORWARD(shift,K21)</f>
        <v>0.30000000000000004</v>
      </c>
    </row>
    <row r="22" spans="11:15" x14ac:dyDescent="0.3">
      <c r="K22">
        <v>1.9000000000000006</v>
      </c>
      <c r="L22" cm="1">
        <f t="array" aca="1" ref="L22" ca="1">_xll.TMX.PWFLAT.CURVE.FORWARD(curve,K22,translate)</f>
        <v>0.3</v>
      </c>
      <c r="M22" cm="1">
        <f t="array" aca="1" ref="M22" ca="1">_xll.TMX.PWFLAT.CURVE.YIELD(curve,K22,translate)</f>
        <v>0.24736842105263157</v>
      </c>
      <c r="N22" cm="1">
        <f t="array" aca="1" ref="N22" ca="1">_xll.TMX.PWFLAT.CURVE.DISCOUNT(curve,K22,translate)</f>
        <v>0.62500226828270078</v>
      </c>
      <c r="O22" cm="1">
        <f t="array" aca="1" ref="O22" ca="1">_xll.TMX.PWFLAT.CURVE.FORWARD(shift,K22)</f>
        <v>0.30000000000000004</v>
      </c>
    </row>
    <row r="23" spans="11:15" x14ac:dyDescent="0.3">
      <c r="K23">
        <v>2.0000000000000004</v>
      </c>
      <c r="L23" cm="1">
        <f t="array" aca="1" ref="L23" ca="1">_xll.TMX.PWFLAT.CURVE.FORWARD(curve,K23,translate)</f>
        <v>0.4</v>
      </c>
      <c r="M23" cm="1">
        <f t="array" aca="1" ref="M23" ca="1">_xll.TMX.PWFLAT.CURVE.YIELD(curve,K23,translate)</f>
        <v>0.25000000000000006</v>
      </c>
      <c r="N23" cm="1">
        <f t="array" aca="1" ref="N23" ca="1">_xll.TMX.PWFLAT.CURVE.DISCOUNT(curve,K23,translate)</f>
        <v>0.60653065971263331</v>
      </c>
      <c r="O23" cm="1">
        <f t="array" aca="1" ref="O23" ca="1">_xll.TMX.PWFLAT.CURVE.FORWARD(shift,K23)</f>
        <v>0.4</v>
      </c>
    </row>
    <row r="24" spans="11:15" x14ac:dyDescent="0.3">
      <c r="K24">
        <v>2.1000000000000005</v>
      </c>
      <c r="L24" cm="1">
        <f t="array" aca="1" ref="L24" ca="1">_xll.TMX.PWFLAT.CURVE.FORWARD(curve,K24,translate)</f>
        <v>0.4</v>
      </c>
      <c r="M24" cm="1">
        <f t="array" aca="1" ref="M24" ca="1">_xll.TMX.PWFLAT.CURVE.YIELD(curve,K24,translate)</f>
        <v>0.25714285714285717</v>
      </c>
      <c r="N24" cm="1">
        <f t="array" aca="1" ref="N24" ca="1">_xll.TMX.PWFLAT.CURVE.DISCOUNT(curve,K24,translate)</f>
        <v>0.58274825237398953</v>
      </c>
      <c r="O24" cm="1">
        <f t="array" aca="1" ref="O24" ca="1">_xll.TMX.PWFLAT.CURVE.FORWARD(shift,K24)</f>
        <v>0.4</v>
      </c>
    </row>
    <row r="25" spans="11:15" x14ac:dyDescent="0.3">
      <c r="K25">
        <v>2.2000000000000006</v>
      </c>
      <c r="L25" cm="1">
        <f t="array" aca="1" ref="L25" ca="1">_xll.TMX.PWFLAT.CURVE.FORWARD(curve,K25,translate)</f>
        <v>0.4</v>
      </c>
      <c r="M25" cm="1">
        <f t="array" aca="1" ref="M25" ca="1">_xll.TMX.PWFLAT.CURVE.YIELD(curve,K25,translate)</f>
        <v>0.26363636363636367</v>
      </c>
      <c r="N25" cm="1">
        <f t="array" aca="1" ref="N25" ca="1">_xll.TMX.PWFLAT.CURVE.DISCOUNT(curve,K25,translate)</f>
        <v>0.55989836656540182</v>
      </c>
      <c r="O25" cm="1">
        <f t="array" aca="1" ref="O25" ca="1">_xll.TMX.PWFLAT.CURVE.FORWARD(shift,K25)</f>
        <v>0.4</v>
      </c>
    </row>
    <row r="26" spans="11:15" x14ac:dyDescent="0.3">
      <c r="K26">
        <v>2.3000000000000007</v>
      </c>
      <c r="L26" cm="1">
        <f t="array" aca="1" ref="L26" ca="1">_xll.TMX.PWFLAT.CURVE.FORWARD(curve,K26,translate)</f>
        <v>0.4</v>
      </c>
      <c r="M26" cm="1">
        <f t="array" aca="1" ref="M26" ca="1">_xll.TMX.PWFLAT.CURVE.YIELD(curve,K26,translate)</f>
        <v>0.2695652173913044</v>
      </c>
      <c r="N26" cm="1">
        <f t="array" aca="1" ref="N26" ca="1">_xll.TMX.PWFLAT.CURVE.DISCOUNT(curve,K26,translate)</f>
        <v>0.53794443759467436</v>
      </c>
      <c r="O26" cm="1">
        <f t="array" aca="1" ref="O26" ca="1">_xll.TMX.PWFLAT.CURVE.FORWARD(shift,K26)</f>
        <v>0.4</v>
      </c>
    </row>
    <row r="27" spans="11:15" x14ac:dyDescent="0.3">
      <c r="K27">
        <v>2.4000000000000008</v>
      </c>
      <c r="L27" cm="1">
        <f t="array" aca="1" ref="L27" ca="1">_xll.TMX.PWFLAT.CURVE.FORWARD(curve,K27,translate)</f>
        <v>0.4</v>
      </c>
      <c r="M27" cm="1">
        <f t="array" aca="1" ref="M27" ca="1">_xll.TMX.PWFLAT.CURVE.YIELD(curve,K27,translate)</f>
        <v>0.27500000000000008</v>
      </c>
      <c r="N27" cm="1">
        <f t="array" aca="1" ref="N27" ca="1">_xll.TMX.PWFLAT.CURVE.DISCOUNT(curve,K27,translate)</f>
        <v>0.51685133449169907</v>
      </c>
      <c r="O27" cm="1">
        <f t="array" aca="1" ref="O27" ca="1">_xll.TMX.PWFLAT.CURVE.FORWARD(shift,K27)</f>
        <v>0.4</v>
      </c>
    </row>
    <row r="28" spans="11:15" x14ac:dyDescent="0.3">
      <c r="K28">
        <v>2.5000000000000009</v>
      </c>
      <c r="L28" cm="1">
        <f t="array" aca="1" ref="L28" ca="1">_xll.TMX.PWFLAT.CURVE.FORWARD(curve,K28,translate)</f>
        <v>0.4</v>
      </c>
      <c r="M28" cm="1">
        <f t="array" aca="1" ref="M28" ca="1">_xll.TMX.PWFLAT.CURVE.YIELD(curve,K28,translate)</f>
        <v>0.28000000000000008</v>
      </c>
      <c r="N28" cm="1">
        <f t="array" aca="1" ref="N28" ca="1">_xll.TMX.PWFLAT.CURVE.DISCOUNT(curve,K28,translate)</f>
        <v>0.4965853037914093</v>
      </c>
      <c r="O28" cm="1">
        <f t="array" aca="1" ref="O28" ca="1">_xll.TMX.PWFLAT.CURVE.FORWARD(shift,K28)</f>
        <v>0.4</v>
      </c>
    </row>
    <row r="29" spans="11:15" x14ac:dyDescent="0.3">
      <c r="K29">
        <v>2.600000000000001</v>
      </c>
      <c r="L29" cm="1">
        <f t="array" aca="1" ref="L29" ca="1">_xll.TMX.PWFLAT.CURVE.FORWARD(curve,K29,translate)</f>
        <v>0.4</v>
      </c>
      <c r="M29" cm="1">
        <f t="array" aca="1" ref="M29" ca="1">_xll.TMX.PWFLAT.CURVE.YIELD(curve,K29,translate)</f>
        <v>0.28461538461538466</v>
      </c>
      <c r="N29" cm="1">
        <f t="array" aca="1" ref="N29" ca="1">_xll.TMX.PWFLAT.CURVE.DISCOUNT(curve,K29,translate)</f>
        <v>0.47711391552103416</v>
      </c>
      <c r="O29" cm="1">
        <f t="array" aca="1" ref="O29" ca="1">_xll.TMX.PWFLAT.CURVE.FORWARD(shift,K29)</f>
        <v>0.4</v>
      </c>
    </row>
    <row r="30" spans="11:15" x14ac:dyDescent="0.3">
      <c r="K30">
        <v>2.7000000000000011</v>
      </c>
      <c r="L30" cm="1">
        <f t="array" aca="1" ref="L30" ca="1">_xll.TMX.PWFLAT.CURVE.FORWARD(curve,K30,translate)</f>
        <v>0.4</v>
      </c>
      <c r="M30" cm="1">
        <f t="array" aca="1" ref="M30" ca="1">_xll.TMX.PWFLAT.CURVE.YIELD(curve,K30,translate)</f>
        <v>0.28888888888888897</v>
      </c>
      <c r="N30" cm="1">
        <f t="array" aca="1" ref="N30" ca="1">_xll.TMX.PWFLAT.CURVE.DISCOUNT(curve,K30,translate)</f>
        <v>0.45840601130522335</v>
      </c>
      <c r="O30" cm="1">
        <f t="array" aca="1" ref="O30" ca="1">_xll.TMX.PWFLAT.CURVE.FORWARD(shift,K30)</f>
        <v>0.4</v>
      </c>
    </row>
    <row r="31" spans="11:15" x14ac:dyDescent="0.3">
      <c r="K31">
        <v>2.8000000000000012</v>
      </c>
      <c r="L31" cm="1">
        <f t="array" aca="1" ref="L31" ca="1">_xll.TMX.PWFLAT.CURVE.FORWARD(curve,K31,translate)</f>
        <v>0.4</v>
      </c>
      <c r="M31" cm="1">
        <f t="array" aca="1" ref="M31" ca="1">_xll.TMX.PWFLAT.CURVE.YIELD(curve,K31,translate)</f>
        <v>0.29285714285714293</v>
      </c>
      <c r="N31" cm="1">
        <f t="array" aca="1" ref="N31" ca="1">_xll.TMX.PWFLAT.CURVE.DISCOUNT(curve,K31,translate)</f>
        <v>0.44043165450599903</v>
      </c>
      <c r="O31" cm="1">
        <f t="array" aca="1" ref="O31" ca="1">_xll.TMX.PWFLAT.CURVE.FORWARD(shift,K31)</f>
        <v>0.4</v>
      </c>
    </row>
    <row r="32" spans="11:15" x14ac:dyDescent="0.3">
      <c r="K32">
        <v>2.9000000000000012</v>
      </c>
      <c r="L32" cm="1">
        <f t="array" aca="1" ref="L32" ca="1">_xll.TMX.PWFLAT.CURVE.FORWARD(curve,K32,translate)</f>
        <v>0.4</v>
      </c>
      <c r="M32" cm="1">
        <f t="array" aca="1" ref="M32" ca="1">_xll.TMX.PWFLAT.CURVE.YIELD(curve,K32,translate)</f>
        <v>0.29655172413793107</v>
      </c>
      <c r="N32" cm="1">
        <f t="array" aca="1" ref="N32" ca="1">_xll.TMX.PWFLAT.CURVE.DISCOUNT(curve,K32,translate)</f>
        <v>0.4231620823177486</v>
      </c>
      <c r="O32" cm="1">
        <f t="array" aca="1" ref="O32" ca="1">_xll.TMX.PWFLAT.CURVE.FORWARD(shift,K32)</f>
        <v>0.4</v>
      </c>
    </row>
    <row r="33" spans="11:15" x14ac:dyDescent="0.3">
      <c r="K33">
        <v>3.0000000000000013</v>
      </c>
      <c r="L33" cm="1">
        <f t="array" aca="1" ref="L33" ca="1">_xll.TMX.PWFLAT.CURVE.FORWARD(curve,K33,translate)</f>
        <v>0.4</v>
      </c>
      <c r="M33" cm="1">
        <f t="array" aca="1" ref="M33" ca="1">_xll.TMX.PWFLAT.CURVE.YIELD(curve,K33,translate)</f>
        <v>0.3000000000000001</v>
      </c>
      <c r="N33" cm="1">
        <f t="array" aca="1" ref="N33" ca="1">_xll.TMX.PWFLAT.CURVE.DISCOUNT(curve,K33,translate)</f>
        <v>0.40656965974059878</v>
      </c>
      <c r="O33" cm="1">
        <f t="array" aca="1" ref="O33" ca="1">_xll.TMX.PWFLAT.CURVE.FORWARD(shift,K33)</f>
        <v>0.5</v>
      </c>
    </row>
    <row r="34" spans="11:15" x14ac:dyDescent="0.3">
      <c r="K34">
        <v>3.1000000000000014</v>
      </c>
      <c r="L34" cm="1">
        <f t="array" aca="1" ref="L34" ca="1">_xll.TMX.PWFLAT.CURVE.FORWARD(curve,K34,translate)</f>
        <v>0.4</v>
      </c>
      <c r="M34" cm="1">
        <f t="array" aca="1" ref="M34" ca="1">_xll.TMX.PWFLAT.CURVE.YIELD(curve,K34,translate)</f>
        <v>0.30322580645161296</v>
      </c>
      <c r="N34" cm="1">
        <f t="array" aca="1" ref="N34" ca="1">_xll.TMX.PWFLAT.CURVE.DISCOUNT(curve,K34,translate)</f>
        <v>0.39062783535852086</v>
      </c>
      <c r="O34" cm="1">
        <f t="array" aca="1" ref="O34" ca="1">_xll.TMX.PWFLAT.CURVE.FORWARD(shift,K34)</f>
        <v>0.5</v>
      </c>
    </row>
    <row r="35" spans="11:15" x14ac:dyDescent="0.3">
      <c r="K35">
        <v>3.2000000000000015</v>
      </c>
      <c r="L35" cm="1">
        <f t="array" aca="1" ref="L35" ca="1">_xll.TMX.PWFLAT.CURVE.FORWARD(curve,K35,translate)</f>
        <v>0.4</v>
      </c>
      <c r="M35" cm="1">
        <f t="array" aca="1" ref="M35" ca="1">_xll.TMX.PWFLAT.CURVE.YIELD(curve,K35,translate)</f>
        <v>0.30625000000000002</v>
      </c>
      <c r="N35" cm="1">
        <f t="array" aca="1" ref="N35" ca="1">_xll.TMX.PWFLAT.CURVE.DISCOUNT(curve,K35,translate)</f>
        <v>0.37531109885139941</v>
      </c>
      <c r="O35" cm="1">
        <f t="array" aca="1" ref="O35" ca="1">_xll.TMX.PWFLAT.CURVE.FORWARD(shift,K35)</f>
        <v>0.5</v>
      </c>
    </row>
    <row r="36" spans="11:15" x14ac:dyDescent="0.3">
      <c r="K36">
        <v>3.3000000000000016</v>
      </c>
      <c r="L36" cm="1">
        <f t="array" aca="1" ref="L36" ca="1">_xll.TMX.PWFLAT.CURVE.FORWARD(curve,K36,translate)</f>
        <v>0.4</v>
      </c>
      <c r="M36" cm="1">
        <f t="array" aca="1" ref="M36" ca="1">_xll.TMX.PWFLAT.CURVE.YIELD(curve,K36,translate)</f>
        <v>0.30909090909090914</v>
      </c>
      <c r="N36" cm="1">
        <f t="array" aca="1" ref="N36" ca="1">_xll.TMX.PWFLAT.CURVE.DISCOUNT(curve,K36,translate)</f>
        <v>0.36059494017307803</v>
      </c>
      <c r="O36" cm="1">
        <f t="array" aca="1" ref="O36" ca="1">_xll.TMX.PWFLAT.CURVE.FORWARD(shift,K36)</f>
        <v>0.5</v>
      </c>
    </row>
    <row r="37" spans="11:15" x14ac:dyDescent="0.3">
      <c r="K37">
        <v>3.4000000000000017</v>
      </c>
      <c r="L37" cm="1">
        <f t="array" aca="1" ref="L37" ca="1">_xll.TMX.PWFLAT.CURVE.FORWARD(curve,K37,translate)</f>
        <v>0.4</v>
      </c>
      <c r="M37" cm="1">
        <f t="array" aca="1" ref="M37" ca="1">_xll.TMX.PWFLAT.CURVE.YIELD(curve,K37,translate)</f>
        <v>0.311764705882353</v>
      </c>
      <c r="N37" cm="1">
        <f t="array" aca="1" ref="N37" ca="1">_xll.TMX.PWFLAT.CURVE.DISCOUNT(curve,K37,translate)</f>
        <v>0.34645581033005712</v>
      </c>
      <c r="O37" cm="1">
        <f t="array" aca="1" ref="O37" ca="1">_xll.TMX.PWFLAT.CURVE.FORWARD(shift,K37)</f>
        <v>0.5</v>
      </c>
    </row>
    <row r="38" spans="11:15" x14ac:dyDescent="0.3">
      <c r="K38">
        <v>3.5000000000000018</v>
      </c>
      <c r="L38" cm="1">
        <f t="array" aca="1" ref="L38" ca="1">_xll.TMX.PWFLAT.CURVE.FORWARD(curve,K38,translate)</f>
        <v>0.4</v>
      </c>
      <c r="M38" cm="1">
        <f t="array" aca="1" ref="M38" ca="1">_xll.TMX.PWFLAT.CURVE.YIELD(curve,K38,translate)</f>
        <v>0.31428571428571433</v>
      </c>
      <c r="N38" cm="1">
        <f t="array" aca="1" ref="N38" ca="1">_xll.TMX.PWFLAT.CURVE.DISCOUNT(curve,K38,translate)</f>
        <v>0.33287108369807933</v>
      </c>
      <c r="O38" cm="1">
        <f t="array" aca="1" ref="O38" ca="1">_xll.TMX.PWFLAT.CURVE.FORWARD(shift,K38)</f>
        <v>0.5</v>
      </c>
    </row>
    <row r="39" spans="11:15" x14ac:dyDescent="0.3">
      <c r="K39">
        <v>3.6000000000000019</v>
      </c>
      <c r="L39" cm="1">
        <f t="array" aca="1" ref="L39" ca="1">_xll.TMX.PWFLAT.CURVE.FORWARD(curve,K39,translate)</f>
        <v>0.4</v>
      </c>
      <c r="M39" cm="1">
        <f t="array" aca="1" ref="M39" ca="1">_xll.TMX.PWFLAT.CURVE.YIELD(curve,K39,translate)</f>
        <v>0.31666666666666671</v>
      </c>
      <c r="N39" cm="1">
        <f t="array" aca="1" ref="N39" ca="1">_xll.TMX.PWFLAT.CURVE.DISCOUNT(curve,K39,translate)</f>
        <v>0.31981902181630373</v>
      </c>
      <c r="O39" cm="1">
        <f t="array" aca="1" ref="O39" ca="1">_xll.TMX.PWFLAT.CURVE.FORWARD(shift,K39)</f>
        <v>0.5</v>
      </c>
    </row>
    <row r="40" spans="11:15" x14ac:dyDescent="0.3">
      <c r="K40">
        <v>3.700000000000002</v>
      </c>
      <c r="L40" cm="1">
        <f t="array" aca="1" ref="L40" ca="1">_xll.TMX.PWFLAT.CURVE.FORWARD(curve,K40,translate)</f>
        <v>0.4</v>
      </c>
      <c r="M40" cm="1">
        <f t="array" aca="1" ref="M40" ca="1">_xll.TMX.PWFLAT.CURVE.YIELD(curve,K40,translate)</f>
        <v>0.31891891891891899</v>
      </c>
      <c r="N40" cm="1">
        <f t="array" aca="1" ref="N40" ca="1">_xll.TMX.PWFLAT.CURVE.DISCOUNT(curve,K40,translate)</f>
        <v>0.30727873860113097</v>
      </c>
      <c r="O40" cm="1">
        <f t="array" aca="1" ref="O40" ca="1">_xll.TMX.PWFLAT.CURVE.FORWARD(shift,K40)</f>
        <v>0.5</v>
      </c>
    </row>
    <row r="41" spans="11:15" x14ac:dyDescent="0.3">
      <c r="K41">
        <v>3.800000000000002</v>
      </c>
      <c r="L41" cm="1">
        <f t="array" aca="1" ref="L41" ca="1">_xll.TMX.PWFLAT.CURVE.FORWARD(curve,K41,translate)</f>
        <v>0.4</v>
      </c>
      <c r="M41" cm="1">
        <f t="array" aca="1" ref="M41" ca="1">_xll.TMX.PWFLAT.CURVE.YIELD(curve,K41,translate)</f>
        <v>0.32105263157894742</v>
      </c>
      <c r="N41" cm="1">
        <f t="array" aca="1" ref="N41" ca="1">_xll.TMX.PWFLAT.CURVE.DISCOUNT(curve,K41,translate)</f>
        <v>0.29523016692401388</v>
      </c>
      <c r="O41" cm="1">
        <f t="array" aca="1" ref="O41" ca="1">_xll.TMX.PWFLAT.CURVE.FORWARD(shift,K41)</f>
        <v>0.5</v>
      </c>
    </row>
    <row r="42" spans="11:15" x14ac:dyDescent="0.3">
      <c r="K42">
        <v>3.9000000000000021</v>
      </c>
      <c r="L42" cm="1">
        <f t="array" aca="1" ref="L42" ca="1">_xll.TMX.PWFLAT.CURVE.FORWARD(curve,K42,translate)</f>
        <v>0.4</v>
      </c>
      <c r="M42" cm="1">
        <f t="array" aca="1" ref="M42" ca="1">_xll.TMX.PWFLAT.CURVE.YIELD(curve,K42,translate)</f>
        <v>0.32307692307692315</v>
      </c>
      <c r="N42" cm="1">
        <f t="array" aca="1" ref="N42" ca="1">_xll.TMX.PWFLAT.CURVE.DISCOUNT(curve,K42,translate)</f>
        <v>0.28365402649977012</v>
      </c>
      <c r="O42" cm="1">
        <f t="array" aca="1" ref="O42" ca="1">_xll.TMX.PWFLAT.CURVE.FORWARD(shift,K42)</f>
        <v>0.5</v>
      </c>
    </row>
    <row r="43" spans="11:15" x14ac:dyDescent="0.3">
      <c r="K43">
        <v>4.0000000000000018</v>
      </c>
      <c r="L43" cm="1">
        <f t="array" aca="1" ref="L43" ca="1">_xll.TMX.PWFLAT.CURVE.FORWARD(curve,K43,translate)</f>
        <v>0.4</v>
      </c>
      <c r="M43" cm="1">
        <f t="array" aca="1" ref="M43" ca="1">_xll.TMX.PWFLAT.CURVE.YIELD(curve,K43,translate)</f>
        <v>0.32500000000000001</v>
      </c>
      <c r="N43" cm="1">
        <f t="array" aca="1" ref="N43" ca="1">_xll.TMX.PWFLAT.CURVE.DISCOUNT(curve,K43,translate)</f>
        <v>0.27253179303401243</v>
      </c>
      <c r="O43" cm="1">
        <f t="array" aca="1" ref="O43" ca="1">_xll.TMX.PWFLAT.CURVE.FORWARD(shift,K43)</f>
        <v>0.5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3DD8-75E7-4A72-9366-AF366CC35FAC}">
  <dimension ref="B1:I553"/>
  <sheetViews>
    <sheetView zoomScale="110" zoomScaleNormal="110" workbookViewId="0">
      <selection activeCell="C6" sqref="C6"/>
    </sheetView>
  </sheetViews>
  <sheetFormatPr defaultRowHeight="18.75" x14ac:dyDescent="0.3"/>
  <cols>
    <col min="1" max="1" width="3.59765625" customWidth="1"/>
    <col min="3" max="3" width="11.59765625" bestFit="1" customWidth="1"/>
    <col min="4" max="4" width="10.796875" bestFit="1" customWidth="1"/>
    <col min="5" max="5" width="11.59765625" bestFit="1" customWidth="1"/>
    <col min="6" max="6" width="10.796875" bestFit="1" customWidth="1"/>
    <col min="7" max="7" width="9.796875" bestFit="1" customWidth="1"/>
    <col min="8" max="8" width="9" bestFit="1" customWidth="1"/>
    <col min="9" max="9" width="9.3984375" bestFit="1" customWidth="1"/>
  </cols>
  <sheetData>
    <row r="1" spans="2:9" ht="19.5" thickBot="1" x14ac:dyDescent="0.35"/>
    <row r="2" spans="2:9" ht="20.25" thickTop="1" thickBot="1" x14ac:dyDescent="0.35">
      <c r="B2" s="11" t="s">
        <v>0</v>
      </c>
      <c r="C2" s="12">
        <v>5</v>
      </c>
      <c r="D2" cm="1">
        <f t="array" ref="D2:D5">_xll.TMX.BOND.SIMPLE(bond.simple)</f>
        <v>5</v>
      </c>
      <c r="E2" s="5" cm="1">
        <f t="array" ref="E2">_xll.\TMX.BOND.SIMPLE(D2,D3,D4,D5)</f>
        <v>2205744282544</v>
      </c>
      <c r="F2" cm="1">
        <f t="array" ref="F2:F5">_xll.TMX.BOND.SIMPLE(E2)</f>
        <v>5</v>
      </c>
      <c r="G2" s="17">
        <f>F2-D2</f>
        <v>0</v>
      </c>
    </row>
    <row r="3" spans="2:9" ht="20.25" thickTop="1" thickBot="1" x14ac:dyDescent="0.35">
      <c r="B3" s="3" t="s">
        <v>1</v>
      </c>
      <c r="C3" s="13">
        <v>0.04</v>
      </c>
      <c r="D3">
        <v>0.04</v>
      </c>
      <c r="F3">
        <v>0.04</v>
      </c>
      <c r="G3" s="17">
        <f t="shared" ref="G3:G5" si="0">F3-D3</f>
        <v>0</v>
      </c>
    </row>
    <row r="4" spans="2:9" ht="20.25" thickTop="1" thickBot="1" x14ac:dyDescent="0.35">
      <c r="B4" s="3" t="s">
        <v>21</v>
      </c>
      <c r="C4" s="14" t="s">
        <v>24</v>
      </c>
      <c r="D4">
        <v>2</v>
      </c>
      <c r="F4">
        <v>2</v>
      </c>
      <c r="G4" s="17">
        <f t="shared" si="0"/>
        <v>0</v>
      </c>
    </row>
    <row r="5" spans="2:9" ht="20.25" thickTop="1" thickBot="1" x14ac:dyDescent="0.35">
      <c r="B5" s="3" t="s">
        <v>22</v>
      </c>
      <c r="C5" s="14" t="s">
        <v>27</v>
      </c>
      <c r="D5" s="5">
        <v>140716919108667</v>
      </c>
      <c r="F5" s="5">
        <v>140716919108667</v>
      </c>
      <c r="G5" s="17">
        <f t="shared" si="0"/>
        <v>0</v>
      </c>
    </row>
    <row r="6" spans="2:9" ht="19.5" thickTop="1" x14ac:dyDescent="0.3">
      <c r="B6" s="10" t="s">
        <v>32</v>
      </c>
      <c r="C6" s="5" cm="1">
        <f t="array" ref="C6">_xll.\TMX.BOND.SIMPLE(maturity, coupon, _xll.ENUM(frequency), _xll.ENUM(day_count))</f>
        <v>2205744290224</v>
      </c>
    </row>
    <row r="7" spans="2:9" x14ac:dyDescent="0.3">
      <c r="B7" s="3" t="s">
        <v>4</v>
      </c>
      <c r="C7" s="2">
        <f ca="1">TODAY()</f>
        <v>45113</v>
      </c>
    </row>
    <row r="8" spans="2:9" x14ac:dyDescent="0.3">
      <c r="B8" s="10" t="s">
        <v>36</v>
      </c>
      <c r="C8" s="5" cm="1">
        <f t="array" aca="1" ref="C8" ca="1">_xll.\TMX.BOND.INSTRUMENT(bond.simple, dated)</f>
        <v>2207344029760</v>
      </c>
    </row>
    <row r="9" spans="2:9" x14ac:dyDescent="0.3">
      <c r="B9" s="10" t="s">
        <v>37</v>
      </c>
      <c r="C9" s="20" cm="1">
        <f t="array" aca="1" ref="C9" ca="1">_xll.TMX.VALUE.YIELD(instrument, 1)</f>
        <v>3.9585327332811372E-2</v>
      </c>
      <c r="D9" s="5" cm="1">
        <f t="array" aca="1" ref="D9" ca="1">_xll.\TMX.PWFLAT.CURVE(0,0,yield)</f>
        <v>2207344031344</v>
      </c>
    </row>
    <row r="10" spans="2:9" x14ac:dyDescent="0.3">
      <c r="B10" s="10" t="s">
        <v>62</v>
      </c>
      <c r="C10" s="23" cm="1">
        <f t="array" aca="1" ref="C10" ca="1">_xll.TMX.VALUE.PRESENT(instrument, $D$9)</f>
        <v>1.000000001080527</v>
      </c>
    </row>
    <row r="11" spans="2:9" x14ac:dyDescent="0.3">
      <c r="B11" s="10" t="s">
        <v>39</v>
      </c>
      <c r="C11" s="23" cm="1">
        <f t="array" aca="1" ref="C11" ca="1">_xll.TMX.VALUE.DURATION(instrument, $D$9)</f>
        <v>-4.5834637662394009</v>
      </c>
    </row>
    <row r="12" spans="2:9" ht="19.5" thickBot="1" x14ac:dyDescent="0.35">
      <c r="B12" s="10" t="s">
        <v>40</v>
      </c>
      <c r="C12" s="23" cm="1">
        <f t="array" aca="1" ref="C12" ca="1">_xll.TMX.VALUE.CONVEXITY(instrument, $D$9)</f>
        <v>22.178239353225383</v>
      </c>
    </row>
    <row r="13" spans="2:9" ht="20.25" thickTop="1" thickBot="1" x14ac:dyDescent="0.35">
      <c r="B13" s="10" t="s">
        <v>38</v>
      </c>
      <c r="C13" s="20" cm="1">
        <f t="array" aca="1" ref="C13" ca="1">_xll.TMX.VALUE.COMPOUND_YIELD(C9,_xll.ENUM(frequency))</f>
        <v>3.9979674296520162E-2</v>
      </c>
      <c r="G13" s="7">
        <f ca="1">C10-G14</f>
        <v>0.85350127098634077</v>
      </c>
      <c r="H13" s="7">
        <f ca="1">C11-H14</f>
        <v>-4.2610080284477192</v>
      </c>
      <c r="I13" s="7">
        <f ca="1">C12-I14</f>
        <v>21.276671617752239</v>
      </c>
    </row>
    <row r="14" spans="2:9" ht="19.5" thickTop="1" x14ac:dyDescent="0.3">
      <c r="G14">
        <f ca="1">SUM(G16:G23)</f>
        <v>0.14649873009418624</v>
      </c>
      <c r="H14">
        <f ca="1">SUM(H16:H23)</f>
        <v>-0.32245573779168146</v>
      </c>
      <c r="I14">
        <f ca="1">SUM(I16:I23)</f>
        <v>0.90156773547314439</v>
      </c>
    </row>
    <row r="15" spans="2:9" x14ac:dyDescent="0.3">
      <c r="C15" s="1" t="s">
        <v>16</v>
      </c>
      <c r="D15" s="1" t="s">
        <v>33</v>
      </c>
      <c r="E15" s="1" t="s">
        <v>8</v>
      </c>
      <c r="F15" s="1" t="s">
        <v>20</v>
      </c>
      <c r="G15" s="25" t="s">
        <v>59</v>
      </c>
      <c r="H15" s="1" t="s">
        <v>60</v>
      </c>
      <c r="I15" s="1" t="s">
        <v>65</v>
      </c>
    </row>
    <row r="16" spans="2:9" x14ac:dyDescent="0.3">
      <c r="C16" s="16" cm="1">
        <f t="array" aca="1" ref="C16:D25" ca="1">TRANSPOSE(_xll.TMX.INSTRUMENT(instrument))</f>
        <v>0.50377488928588543</v>
      </c>
      <c r="D16">
        <f ca="1"/>
        <v>0.02</v>
      </c>
      <c r="E16" s="2" cm="1">
        <f t="array" aca="1" ref="E16:E25" ca="1">_xlfn.MAP(INDEX(_xlfn.ANCHORARRAY(C16),,1),_xlfn.LAMBDA(_xlpm.t,_xll.TMX.DATE.ADD_YEARS(dated,_xlpm.t)))</f>
        <v>45297</v>
      </c>
      <c r="F16" s="24" cm="1">
        <f t="array" aca="1" ref="F16" ca="1">_xll.TMX.PWFLAT.CURVE.DISCOUNT($D$9, C16)</f>
        <v>0.98025543443800101</v>
      </c>
      <c r="G16" s="24">
        <f ca="1">D16*F16</f>
        <v>1.9605108688760021E-2</v>
      </c>
      <c r="H16" s="24">
        <f ca="1">-G16*C16</f>
        <v>-9.8765614591178295E-3</v>
      </c>
      <c r="I16" s="24">
        <f ca="1">C16^2*G16</f>
        <v>4.9755636555923275E-3</v>
      </c>
    </row>
    <row r="17" spans="3:9" x14ac:dyDescent="0.3">
      <c r="C17" s="16">
        <f ca="1"/>
        <v>1.0020739645577939</v>
      </c>
      <c r="D17">
        <f ca="1"/>
        <v>0.02</v>
      </c>
      <c r="E17" s="2">
        <f ca="1"/>
        <v>45479</v>
      </c>
      <c r="F17" s="24" cm="1">
        <f t="array" aca="1" ref="F17" ca="1">_xll.TMX.PWFLAT.CURVE.DISCOUNT($D$9, C17)</f>
        <v>0.9611090259767846</v>
      </c>
      <c r="G17" s="24">
        <f t="shared" ref="G17:G23" ca="1" si="1">D17*F17</f>
        <v>1.9222180519535694E-2</v>
      </c>
      <c r="H17" s="24">
        <f t="shared" ref="H17:H23" ca="1" si="2">-G17*C17</f>
        <v>-1.9262046640656727E-2</v>
      </c>
      <c r="I17" s="24">
        <f t="shared" ref="I17:I23" ca="1" si="3">C17^2*G17</f>
        <v>1.9301995442700021E-2</v>
      </c>
    </row>
    <row r="18" spans="3:9" x14ac:dyDescent="0.3">
      <c r="C18" s="16">
        <f ca="1"/>
        <v>1.5058488538436792</v>
      </c>
      <c r="D18">
        <f ca="1"/>
        <v>0.02</v>
      </c>
      <c r="E18" s="2">
        <f ca="1"/>
        <v>45663</v>
      </c>
      <c r="F18" s="24" cm="1">
        <f t="array" aca="1" ref="F18" ca="1">_xll.TMX.PWFLAT.CURVE.DISCOUNT($D$9, C18)</f>
        <v>0.94213234580115701</v>
      </c>
      <c r="G18" s="24">
        <f t="shared" ca="1" si="1"/>
        <v>1.884264691602314E-2</v>
      </c>
      <c r="H18" s="24">
        <f t="shared" ca="1" si="2"/>
        <v>-2.8374178261874581E-2</v>
      </c>
      <c r="I18" s="24">
        <f t="shared" ca="1" si="3"/>
        <v>4.2727223814400077E-2</v>
      </c>
    </row>
    <row r="19" spans="3:9" x14ac:dyDescent="0.3">
      <c r="C19" s="16">
        <f ca="1"/>
        <v>2.0014100221085989</v>
      </c>
      <c r="D19">
        <f ca="1"/>
        <v>0.02</v>
      </c>
      <c r="E19" s="2">
        <f ca="1"/>
        <v>45843.999988425923</v>
      </c>
      <c r="F19" s="24" cm="1">
        <f t="array" aca="1" ref="F19" ca="1">_xll.TMX.PWFLAT.CURVE.DISCOUNT($D$9, C19)</f>
        <v>0.923830680030578</v>
      </c>
      <c r="G19" s="24">
        <f t="shared" ca="1" si="1"/>
        <v>1.847661360061156E-2</v>
      </c>
      <c r="H19" s="24">
        <f t="shared" ca="1" si="2"/>
        <v>-3.6979279634892018E-2</v>
      </c>
      <c r="I19" s="24">
        <f t="shared" ca="1" si="3"/>
        <v>7.4010700871629295E-2</v>
      </c>
    </row>
    <row r="20" spans="3:9" x14ac:dyDescent="0.3">
      <c r="C20" s="16">
        <f ca="1"/>
        <v>2.5051849113944846</v>
      </c>
      <c r="D20">
        <f ca="1"/>
        <v>0.02</v>
      </c>
      <c r="E20" s="2">
        <f ca="1"/>
        <v>46028</v>
      </c>
      <c r="F20" s="24" cm="1">
        <f t="array" aca="1" ref="F20" ca="1">_xll.TMX.PWFLAT.CURVE.DISCOUNT($D$9, C20)</f>
        <v>0.90559004460052817</v>
      </c>
      <c r="G20" s="24">
        <f t="shared" ca="1" si="1"/>
        <v>1.8111800892010563E-2</v>
      </c>
      <c r="H20" s="24">
        <f t="shared" ca="1" si="2"/>
        <v>-4.537341031284603E-2</v>
      </c>
      <c r="I20" s="24">
        <f t="shared" ca="1" si="3"/>
        <v>0.11366878289425278</v>
      </c>
    </row>
    <row r="21" spans="3:9" x14ac:dyDescent="0.3">
      <c r="C21" s="16">
        <f ca="1"/>
        <v>3.0007460796594043</v>
      </c>
      <c r="D21">
        <f ca="1"/>
        <v>0.02</v>
      </c>
      <c r="E21" s="2">
        <f ca="1"/>
        <v>46209</v>
      </c>
      <c r="F21" s="24" cm="1">
        <f t="array" aca="1" ref="F21" ca="1">_xll.TMX.PWFLAT.CURVE.DISCOUNT($D$9, C21)</f>
        <v>0.88799824192513144</v>
      </c>
      <c r="G21" s="24">
        <f t="shared" ca="1" si="1"/>
        <v>1.7759964838502628E-2</v>
      </c>
      <c r="H21" s="24">
        <f t="shared" ca="1" si="2"/>
        <v>-5.3293144864025629E-2</v>
      </c>
      <c r="I21" s="24">
        <f t="shared" ca="1" si="3"/>
        <v>0.15991919552344561</v>
      </c>
    </row>
    <row r="22" spans="3:9" x14ac:dyDescent="0.3">
      <c r="C22" s="16">
        <f ca="1"/>
        <v>3.5045209689452896</v>
      </c>
      <c r="D22">
        <f ca="1"/>
        <v>0.02</v>
      </c>
      <c r="E22" s="2">
        <f ca="1"/>
        <v>46393</v>
      </c>
      <c r="F22" s="24" cm="1">
        <f t="array" aca="1" ref="F22" ca="1">_xll.TMX.PWFLAT.CURVE.DISCOUNT($D$9, C22)</f>
        <v>0.87046510241850084</v>
      </c>
      <c r="G22" s="24">
        <f t="shared" ca="1" si="1"/>
        <v>1.7409302048370018E-2</v>
      </c>
      <c r="H22" s="24">
        <f t="shared" ca="1" si="2"/>
        <v>-6.101126408321491E-2</v>
      </c>
      <c r="I22" s="24">
        <f t="shared" ca="1" si="3"/>
        <v>0.21381525432148527</v>
      </c>
    </row>
    <row r="23" spans="3:9" x14ac:dyDescent="0.3">
      <c r="C23" s="16">
        <f ca="1"/>
        <v>4.0000821372102093</v>
      </c>
      <c r="D23">
        <f ca="1"/>
        <v>0.02</v>
      </c>
      <c r="E23" s="2">
        <f ca="1"/>
        <v>46574</v>
      </c>
      <c r="F23" s="24" cm="1">
        <f t="array" aca="1" ref="F23" ca="1">_xll.TMX.PWFLAT.CURVE.DISCOUNT($D$9, C23)</f>
        <v>0.85355562951863018</v>
      </c>
      <c r="G23" s="24">
        <f t="shared" ca="1" si="1"/>
        <v>1.7071112590372604E-2</v>
      </c>
      <c r="H23" s="24">
        <f t="shared" ca="1" si="2"/>
        <v>-6.8285852535053759E-2</v>
      </c>
      <c r="I23" s="24">
        <f t="shared" ca="1" si="3"/>
        <v>0.27314901894963906</v>
      </c>
    </row>
    <row r="24" spans="3:9" x14ac:dyDescent="0.3">
      <c r="C24" s="16">
        <f ca="1"/>
        <v>4.5038570264960951</v>
      </c>
      <c r="D24">
        <f ca="1"/>
        <v>0.02</v>
      </c>
      <c r="E24" s="2">
        <f ca="1"/>
        <v>46758</v>
      </c>
      <c r="G24" s="2"/>
    </row>
    <row r="25" spans="3:9" x14ac:dyDescent="0.3">
      <c r="C25" s="16">
        <f ca="1"/>
        <v>5.0021561017680032</v>
      </c>
      <c r="D25">
        <f ca="1"/>
        <v>1.02</v>
      </c>
      <c r="E25" s="2">
        <f ca="1"/>
        <v>46940</v>
      </c>
      <c r="G25" s="2"/>
    </row>
    <row r="26" spans="3:9" x14ac:dyDescent="0.3">
      <c r="C26" s="16"/>
      <c r="E26" s="2"/>
      <c r="G26" s="2"/>
    </row>
    <row r="27" spans="3:9" x14ac:dyDescent="0.3">
      <c r="C27" s="16"/>
      <c r="E27" s="2"/>
      <c r="G27" s="2"/>
    </row>
    <row r="28" spans="3:9" x14ac:dyDescent="0.3">
      <c r="C28" s="16"/>
      <c r="E28" s="2"/>
      <c r="G28" s="2"/>
    </row>
    <row r="29" spans="3:9" x14ac:dyDescent="0.3">
      <c r="C29" s="16"/>
      <c r="E29" s="2"/>
      <c r="G29" s="2"/>
    </row>
    <row r="30" spans="3:9" x14ac:dyDescent="0.3">
      <c r="C30" s="16"/>
      <c r="E30" s="2"/>
      <c r="G30" s="2"/>
    </row>
    <row r="31" spans="3:9" x14ac:dyDescent="0.3">
      <c r="C31" s="16"/>
      <c r="E31" s="2"/>
      <c r="G31" s="2"/>
    </row>
    <row r="32" spans="3:9" x14ac:dyDescent="0.3">
      <c r="C32" s="16"/>
      <c r="E32" s="2"/>
      <c r="G32" s="2"/>
    </row>
    <row r="33" spans="3:7" x14ac:dyDescent="0.3">
      <c r="C33" s="16"/>
      <c r="E33" s="2"/>
      <c r="G33" s="2"/>
    </row>
    <row r="34" spans="3:7" x14ac:dyDescent="0.3">
      <c r="C34" s="16"/>
      <c r="E34" s="2"/>
      <c r="G34" s="2"/>
    </row>
    <row r="35" spans="3:7" x14ac:dyDescent="0.3">
      <c r="C35" s="16"/>
      <c r="E35" s="2"/>
      <c r="G35" s="2"/>
    </row>
    <row r="36" spans="3:7" x14ac:dyDescent="0.3">
      <c r="C36" s="16"/>
      <c r="E36" s="2"/>
      <c r="G36" s="2"/>
    </row>
    <row r="37" spans="3:7" x14ac:dyDescent="0.3">
      <c r="C37" s="16"/>
      <c r="E37" s="2"/>
      <c r="G37" s="2"/>
    </row>
    <row r="38" spans="3:7" x14ac:dyDescent="0.3">
      <c r="C38" s="16"/>
      <c r="E38" s="2"/>
      <c r="G38" s="2"/>
    </row>
    <row r="39" spans="3:7" x14ac:dyDescent="0.3">
      <c r="C39" s="16"/>
      <c r="E39" s="2"/>
      <c r="G39" s="2"/>
    </row>
    <row r="40" spans="3:7" x14ac:dyDescent="0.3">
      <c r="C40" s="16"/>
      <c r="E40" s="2"/>
      <c r="G40" s="2"/>
    </row>
    <row r="41" spans="3:7" x14ac:dyDescent="0.3">
      <c r="C41" s="16"/>
      <c r="E41" s="2"/>
      <c r="G41" s="2"/>
    </row>
    <row r="42" spans="3:7" x14ac:dyDescent="0.3">
      <c r="C42" s="16"/>
      <c r="E42" s="2"/>
      <c r="G42" s="2"/>
    </row>
    <row r="43" spans="3:7" x14ac:dyDescent="0.3">
      <c r="C43" s="16"/>
      <c r="E43" s="2"/>
      <c r="G43" s="2"/>
    </row>
    <row r="44" spans="3:7" x14ac:dyDescent="0.3">
      <c r="C44" s="16"/>
      <c r="E44" s="2"/>
      <c r="G44" s="2"/>
    </row>
    <row r="45" spans="3:7" x14ac:dyDescent="0.3">
      <c r="C45" s="16"/>
      <c r="E45" s="2"/>
      <c r="G45" s="2"/>
    </row>
    <row r="46" spans="3:7" x14ac:dyDescent="0.3">
      <c r="C46" s="16"/>
      <c r="E46" s="2"/>
      <c r="G46" s="2"/>
    </row>
    <row r="47" spans="3:7" x14ac:dyDescent="0.3">
      <c r="C47" s="16"/>
      <c r="E47" s="2"/>
      <c r="G47" s="2"/>
    </row>
    <row r="48" spans="3:7" x14ac:dyDescent="0.3">
      <c r="C48" s="16"/>
      <c r="E48" s="2"/>
      <c r="G48" s="2"/>
    </row>
    <row r="49" spans="3:7" x14ac:dyDescent="0.3">
      <c r="C49" s="16"/>
      <c r="E49" s="2"/>
      <c r="G49" s="2"/>
    </row>
    <row r="50" spans="3:7" x14ac:dyDescent="0.3">
      <c r="C50" s="16"/>
      <c r="E50" s="2"/>
      <c r="G50" s="2"/>
    </row>
    <row r="51" spans="3:7" x14ac:dyDescent="0.3">
      <c r="C51" s="16"/>
      <c r="E51" s="2"/>
      <c r="G51" s="2"/>
    </row>
    <row r="52" spans="3:7" x14ac:dyDescent="0.3">
      <c r="C52" s="16"/>
      <c r="E52" s="2"/>
      <c r="G52" s="2"/>
    </row>
    <row r="53" spans="3:7" x14ac:dyDescent="0.3">
      <c r="C53" s="16"/>
      <c r="E53" s="2"/>
      <c r="G53" s="2"/>
    </row>
    <row r="54" spans="3:7" x14ac:dyDescent="0.3">
      <c r="C54" s="16"/>
      <c r="E54" s="2"/>
      <c r="G54" s="2"/>
    </row>
    <row r="55" spans="3:7" x14ac:dyDescent="0.3">
      <c r="C55" s="16"/>
      <c r="E55" s="2"/>
      <c r="G55" s="2"/>
    </row>
    <row r="56" spans="3:7" x14ac:dyDescent="0.3">
      <c r="C56" s="16"/>
      <c r="E56" s="2"/>
      <c r="G56" s="2"/>
    </row>
    <row r="57" spans="3:7" x14ac:dyDescent="0.3">
      <c r="C57" s="16"/>
      <c r="E57" s="2"/>
      <c r="G57" s="2"/>
    </row>
    <row r="58" spans="3:7" x14ac:dyDescent="0.3">
      <c r="C58" s="16"/>
      <c r="E58" s="2"/>
      <c r="G58" s="2"/>
    </row>
    <row r="59" spans="3:7" x14ac:dyDescent="0.3">
      <c r="C59" s="16"/>
      <c r="E59" s="2"/>
      <c r="G59" s="2"/>
    </row>
    <row r="60" spans="3:7" x14ac:dyDescent="0.3">
      <c r="C60" s="16"/>
      <c r="E60" s="2"/>
      <c r="G60" s="2"/>
    </row>
    <row r="61" spans="3:7" x14ac:dyDescent="0.3">
      <c r="C61" s="16"/>
      <c r="E61" s="2"/>
      <c r="G61" s="2"/>
    </row>
    <row r="62" spans="3:7" x14ac:dyDescent="0.3">
      <c r="C62" s="16"/>
      <c r="E62" s="2"/>
      <c r="G62" s="2"/>
    </row>
    <row r="63" spans="3:7" x14ac:dyDescent="0.3">
      <c r="C63" s="16"/>
      <c r="E63" s="2"/>
      <c r="G63" s="2"/>
    </row>
    <row r="64" spans="3:7" x14ac:dyDescent="0.3">
      <c r="C64" s="16"/>
      <c r="E64" s="2"/>
      <c r="G64" s="2"/>
    </row>
    <row r="65" spans="3:7" x14ac:dyDescent="0.3">
      <c r="C65" s="16"/>
      <c r="E65" s="2"/>
      <c r="G65" s="2"/>
    </row>
    <row r="66" spans="3:7" x14ac:dyDescent="0.3">
      <c r="C66" s="16"/>
      <c r="E66" s="2"/>
      <c r="G66" s="2"/>
    </row>
    <row r="67" spans="3:7" x14ac:dyDescent="0.3">
      <c r="C67" s="16"/>
      <c r="E67" s="2"/>
      <c r="G67" s="2"/>
    </row>
    <row r="68" spans="3:7" x14ac:dyDescent="0.3">
      <c r="C68" s="16"/>
      <c r="E68" s="2"/>
      <c r="G68" s="2"/>
    </row>
    <row r="69" spans="3:7" x14ac:dyDescent="0.3">
      <c r="C69" s="16"/>
      <c r="E69" s="2"/>
      <c r="G69" s="2"/>
    </row>
    <row r="70" spans="3:7" x14ac:dyDescent="0.3">
      <c r="C70" s="16"/>
      <c r="E70" s="2"/>
      <c r="G70" s="2"/>
    </row>
    <row r="71" spans="3:7" x14ac:dyDescent="0.3">
      <c r="C71" s="16"/>
      <c r="E71" s="2"/>
      <c r="G71" s="2"/>
    </row>
    <row r="72" spans="3:7" x14ac:dyDescent="0.3">
      <c r="C72" s="16"/>
      <c r="E72" s="2"/>
      <c r="G72" s="2"/>
    </row>
    <row r="73" spans="3:7" x14ac:dyDescent="0.3">
      <c r="C73" s="16"/>
      <c r="E73" s="2"/>
      <c r="G73" s="2"/>
    </row>
    <row r="74" spans="3:7" x14ac:dyDescent="0.3">
      <c r="C74" s="16"/>
      <c r="E74" s="2"/>
      <c r="G74" s="2"/>
    </row>
    <row r="75" spans="3:7" x14ac:dyDescent="0.3">
      <c r="C75" s="16"/>
      <c r="E75" s="2"/>
      <c r="G75" s="2"/>
    </row>
    <row r="76" spans="3:7" x14ac:dyDescent="0.3">
      <c r="C76" s="16"/>
      <c r="E76" s="2"/>
      <c r="G76" s="2"/>
    </row>
    <row r="77" spans="3:7" x14ac:dyDescent="0.3">
      <c r="C77" s="16"/>
      <c r="E77" s="2"/>
      <c r="G77" s="2"/>
    </row>
    <row r="78" spans="3:7" x14ac:dyDescent="0.3">
      <c r="C78" s="16"/>
      <c r="E78" s="2"/>
      <c r="G78" s="2"/>
    </row>
    <row r="79" spans="3:7" x14ac:dyDescent="0.3">
      <c r="C79" s="16"/>
      <c r="E79" s="2"/>
      <c r="G79" s="2"/>
    </row>
    <row r="80" spans="3:7" x14ac:dyDescent="0.3">
      <c r="C80" s="16"/>
      <c r="E80" s="2"/>
      <c r="G80" s="2"/>
    </row>
    <row r="81" spans="3:7" x14ac:dyDescent="0.3">
      <c r="C81" s="16"/>
      <c r="E81" s="2"/>
      <c r="G81" s="2"/>
    </row>
    <row r="82" spans="3:7" x14ac:dyDescent="0.3">
      <c r="C82" s="16"/>
      <c r="E82" s="2"/>
      <c r="G82" s="2"/>
    </row>
    <row r="83" spans="3:7" x14ac:dyDescent="0.3">
      <c r="C83" s="16"/>
      <c r="E83" s="2"/>
      <c r="G83" s="2"/>
    </row>
    <row r="84" spans="3:7" x14ac:dyDescent="0.3">
      <c r="C84" s="16"/>
      <c r="E84" s="2"/>
      <c r="G84" s="2"/>
    </row>
    <row r="85" spans="3:7" x14ac:dyDescent="0.3">
      <c r="C85" s="16"/>
      <c r="E85" s="2"/>
      <c r="G85" s="2"/>
    </row>
    <row r="86" spans="3:7" x14ac:dyDescent="0.3">
      <c r="C86" s="16"/>
      <c r="E86" s="2"/>
      <c r="G86" s="2"/>
    </row>
    <row r="87" spans="3:7" x14ac:dyDescent="0.3">
      <c r="C87" s="16"/>
      <c r="E87" s="2"/>
      <c r="G87" s="2"/>
    </row>
    <row r="88" spans="3:7" x14ac:dyDescent="0.3">
      <c r="C88" s="16"/>
      <c r="E88" s="2"/>
      <c r="G88" s="2"/>
    </row>
    <row r="89" spans="3:7" x14ac:dyDescent="0.3">
      <c r="C89" s="16"/>
      <c r="E89" s="2"/>
      <c r="G89" s="2"/>
    </row>
    <row r="90" spans="3:7" x14ac:dyDescent="0.3">
      <c r="C90" s="16"/>
      <c r="E90" s="2"/>
      <c r="G90" s="2"/>
    </row>
    <row r="91" spans="3:7" x14ac:dyDescent="0.3">
      <c r="C91" s="16"/>
      <c r="E91" s="2"/>
      <c r="G91" s="2"/>
    </row>
    <row r="92" spans="3:7" x14ac:dyDescent="0.3">
      <c r="C92" s="16"/>
      <c r="E92" s="2"/>
      <c r="G92" s="2"/>
    </row>
    <row r="93" spans="3:7" x14ac:dyDescent="0.3">
      <c r="C93" s="16"/>
      <c r="E93" s="2"/>
      <c r="G93" s="2"/>
    </row>
    <row r="94" spans="3:7" x14ac:dyDescent="0.3">
      <c r="C94" s="16"/>
      <c r="E94" s="2"/>
      <c r="G94" s="2"/>
    </row>
    <row r="95" spans="3:7" x14ac:dyDescent="0.3">
      <c r="C95" s="16"/>
      <c r="E95" s="2"/>
      <c r="G95" s="2"/>
    </row>
    <row r="96" spans="3:7" x14ac:dyDescent="0.3">
      <c r="C96" s="16"/>
      <c r="E96" s="2"/>
      <c r="G96" s="2"/>
    </row>
    <row r="97" spans="3:7" x14ac:dyDescent="0.3">
      <c r="C97" s="16"/>
      <c r="E97" s="2"/>
      <c r="G97" s="2"/>
    </row>
    <row r="98" spans="3:7" x14ac:dyDescent="0.3">
      <c r="C98" s="16"/>
      <c r="E98" s="2"/>
      <c r="G98" s="2"/>
    </row>
    <row r="99" spans="3:7" x14ac:dyDescent="0.3">
      <c r="C99" s="16"/>
      <c r="E99" s="2"/>
      <c r="G99" s="2"/>
    </row>
    <row r="100" spans="3:7" x14ac:dyDescent="0.3">
      <c r="C100" s="16"/>
      <c r="E100" s="2"/>
      <c r="G100" s="2"/>
    </row>
    <row r="101" spans="3:7" x14ac:dyDescent="0.3">
      <c r="C101" s="16"/>
      <c r="E101" s="2"/>
      <c r="G101" s="2"/>
    </row>
    <row r="102" spans="3:7" x14ac:dyDescent="0.3">
      <c r="C102" s="16"/>
      <c r="E102" s="2"/>
      <c r="G102" s="2"/>
    </row>
    <row r="103" spans="3:7" x14ac:dyDescent="0.3">
      <c r="C103" s="16"/>
      <c r="E103" s="2"/>
      <c r="G103" s="2"/>
    </row>
    <row r="104" spans="3:7" x14ac:dyDescent="0.3">
      <c r="C104" s="16"/>
      <c r="E104" s="2"/>
      <c r="G104" s="2"/>
    </row>
    <row r="105" spans="3:7" x14ac:dyDescent="0.3">
      <c r="C105" s="16"/>
      <c r="E105" s="2"/>
      <c r="G105" s="2"/>
    </row>
    <row r="106" spans="3:7" x14ac:dyDescent="0.3">
      <c r="C106" s="16"/>
      <c r="E106" s="2"/>
      <c r="G106" s="2"/>
    </row>
    <row r="107" spans="3:7" x14ac:dyDescent="0.3">
      <c r="C107" s="16"/>
      <c r="E107" s="2"/>
      <c r="G107" s="2"/>
    </row>
    <row r="108" spans="3:7" x14ac:dyDescent="0.3">
      <c r="C108" s="16"/>
      <c r="E108" s="2"/>
      <c r="G108" s="2"/>
    </row>
    <row r="109" spans="3:7" x14ac:dyDescent="0.3">
      <c r="C109" s="16"/>
      <c r="E109" s="2"/>
      <c r="G109" s="2"/>
    </row>
    <row r="110" spans="3:7" x14ac:dyDescent="0.3">
      <c r="C110" s="16"/>
      <c r="E110" s="2"/>
      <c r="G110" s="2"/>
    </row>
    <row r="111" spans="3:7" x14ac:dyDescent="0.3">
      <c r="C111" s="16"/>
      <c r="E111" s="2"/>
      <c r="G111" s="2"/>
    </row>
    <row r="112" spans="3:7" x14ac:dyDescent="0.3">
      <c r="C112" s="16"/>
      <c r="E112" s="2"/>
      <c r="G112" s="2"/>
    </row>
    <row r="113" spans="3:7" x14ac:dyDescent="0.3">
      <c r="C113" s="16"/>
      <c r="E113" s="2"/>
      <c r="G113" s="2"/>
    </row>
    <row r="114" spans="3:7" x14ac:dyDescent="0.3">
      <c r="C114" s="16"/>
      <c r="E114" s="2"/>
      <c r="G114" s="2"/>
    </row>
    <row r="115" spans="3:7" x14ac:dyDescent="0.3">
      <c r="C115" s="16"/>
      <c r="E115" s="2"/>
      <c r="G115" s="2"/>
    </row>
    <row r="116" spans="3:7" x14ac:dyDescent="0.3">
      <c r="C116" s="16"/>
      <c r="E116" s="2"/>
      <c r="G116" s="2"/>
    </row>
    <row r="117" spans="3:7" x14ac:dyDescent="0.3">
      <c r="C117" s="16"/>
      <c r="E117" s="2"/>
      <c r="G117" s="2"/>
    </row>
    <row r="118" spans="3:7" x14ac:dyDescent="0.3">
      <c r="C118" s="16"/>
      <c r="E118" s="2"/>
      <c r="G118" s="2"/>
    </row>
    <row r="119" spans="3:7" x14ac:dyDescent="0.3">
      <c r="C119" s="16"/>
      <c r="E119" s="2"/>
      <c r="G119" s="2"/>
    </row>
    <row r="120" spans="3:7" x14ac:dyDescent="0.3">
      <c r="C120" s="16"/>
      <c r="E120" s="2"/>
      <c r="G120" s="2"/>
    </row>
    <row r="121" spans="3:7" x14ac:dyDescent="0.3">
      <c r="C121" s="16"/>
      <c r="E121" s="2"/>
      <c r="G121" s="2"/>
    </row>
    <row r="122" spans="3:7" x14ac:dyDescent="0.3">
      <c r="C122" s="16"/>
      <c r="E122" s="2"/>
      <c r="G122" s="2"/>
    </row>
    <row r="123" spans="3:7" x14ac:dyDescent="0.3">
      <c r="C123" s="16"/>
      <c r="E123" s="2"/>
      <c r="G123" s="2"/>
    </row>
    <row r="124" spans="3:7" x14ac:dyDescent="0.3">
      <c r="C124" s="16"/>
      <c r="E124" s="2"/>
      <c r="G124" s="2"/>
    </row>
    <row r="125" spans="3:7" x14ac:dyDescent="0.3">
      <c r="C125" s="16"/>
      <c r="E125" s="2"/>
      <c r="G125" s="2"/>
    </row>
    <row r="126" spans="3:7" x14ac:dyDescent="0.3">
      <c r="C126" s="16"/>
      <c r="E126" s="2"/>
      <c r="G126" s="2"/>
    </row>
    <row r="127" spans="3:7" x14ac:dyDescent="0.3">
      <c r="C127" s="16"/>
      <c r="E127" s="2"/>
      <c r="G127" s="2"/>
    </row>
    <row r="128" spans="3:7" x14ac:dyDescent="0.3">
      <c r="C128" s="16"/>
      <c r="E128" s="2"/>
      <c r="G128" s="2"/>
    </row>
    <row r="129" spans="3:7" x14ac:dyDescent="0.3">
      <c r="C129" s="16"/>
      <c r="E129" s="2"/>
      <c r="G129" s="2"/>
    </row>
    <row r="130" spans="3:7" x14ac:dyDescent="0.3">
      <c r="C130" s="16"/>
      <c r="E130" s="2"/>
      <c r="G130" s="2"/>
    </row>
    <row r="131" spans="3:7" x14ac:dyDescent="0.3">
      <c r="C131" s="16"/>
      <c r="E131" s="2"/>
      <c r="G131" s="2"/>
    </row>
    <row r="132" spans="3:7" x14ac:dyDescent="0.3">
      <c r="C132" s="16"/>
      <c r="E132" s="2"/>
      <c r="G132" s="2"/>
    </row>
    <row r="133" spans="3:7" x14ac:dyDescent="0.3">
      <c r="C133" s="16"/>
      <c r="E133" s="2"/>
      <c r="G133" s="2"/>
    </row>
    <row r="134" spans="3:7" x14ac:dyDescent="0.3">
      <c r="C134" s="16"/>
      <c r="E134" s="2"/>
      <c r="G134" s="2"/>
    </row>
    <row r="135" spans="3:7" x14ac:dyDescent="0.3">
      <c r="C135" s="16"/>
      <c r="E135" s="2"/>
      <c r="G135" s="2"/>
    </row>
    <row r="136" spans="3:7" x14ac:dyDescent="0.3">
      <c r="C136" s="16"/>
      <c r="E136" s="2"/>
      <c r="G136" s="2"/>
    </row>
    <row r="137" spans="3:7" x14ac:dyDescent="0.3">
      <c r="C137" s="16"/>
      <c r="E137" s="2"/>
      <c r="G137" s="2"/>
    </row>
    <row r="138" spans="3:7" x14ac:dyDescent="0.3">
      <c r="C138" s="16"/>
      <c r="E138" s="2"/>
      <c r="G138" s="2"/>
    </row>
    <row r="139" spans="3:7" x14ac:dyDescent="0.3">
      <c r="C139" s="16"/>
      <c r="E139" s="2"/>
      <c r="G139" s="2"/>
    </row>
    <row r="140" spans="3:7" x14ac:dyDescent="0.3">
      <c r="C140" s="16"/>
      <c r="E140" s="2"/>
      <c r="G140" s="2"/>
    </row>
    <row r="141" spans="3:7" x14ac:dyDescent="0.3">
      <c r="C141" s="16"/>
      <c r="E141" s="2"/>
      <c r="G141" s="2"/>
    </row>
    <row r="142" spans="3:7" x14ac:dyDescent="0.3">
      <c r="C142" s="16"/>
      <c r="E142" s="2"/>
      <c r="G142" s="2"/>
    </row>
    <row r="143" spans="3:7" x14ac:dyDescent="0.3">
      <c r="C143" s="16"/>
      <c r="E143" s="2"/>
      <c r="G143" s="2"/>
    </row>
    <row r="144" spans="3:7" x14ac:dyDescent="0.3">
      <c r="C144" s="16"/>
      <c r="E144" s="2"/>
      <c r="G144" s="2"/>
    </row>
    <row r="145" spans="3:7" x14ac:dyDescent="0.3">
      <c r="C145" s="16"/>
      <c r="E145" s="2"/>
      <c r="G145" s="2"/>
    </row>
    <row r="146" spans="3:7" x14ac:dyDescent="0.3">
      <c r="C146" s="16"/>
      <c r="E146" s="2"/>
      <c r="G146" s="2"/>
    </row>
    <row r="147" spans="3:7" x14ac:dyDescent="0.3">
      <c r="C147" s="16"/>
      <c r="E147" s="2"/>
      <c r="G147" s="2"/>
    </row>
    <row r="148" spans="3:7" x14ac:dyDescent="0.3">
      <c r="C148" s="16"/>
      <c r="E148" s="2"/>
      <c r="G148" s="2"/>
    </row>
    <row r="149" spans="3:7" x14ac:dyDescent="0.3">
      <c r="C149" s="16"/>
      <c r="E149" s="2"/>
      <c r="G149" s="2"/>
    </row>
    <row r="150" spans="3:7" x14ac:dyDescent="0.3">
      <c r="C150" s="16"/>
      <c r="E150" s="2"/>
      <c r="G150" s="2"/>
    </row>
    <row r="151" spans="3:7" x14ac:dyDescent="0.3">
      <c r="C151" s="16"/>
      <c r="E151" s="2"/>
      <c r="G151" s="2"/>
    </row>
    <row r="152" spans="3:7" x14ac:dyDescent="0.3">
      <c r="C152" s="16"/>
      <c r="E152" s="2"/>
      <c r="G152" s="2"/>
    </row>
    <row r="153" spans="3:7" x14ac:dyDescent="0.3">
      <c r="C153" s="16"/>
      <c r="E153" s="2"/>
      <c r="G153" s="2"/>
    </row>
    <row r="154" spans="3:7" x14ac:dyDescent="0.3">
      <c r="C154" s="16"/>
      <c r="E154" s="2"/>
      <c r="G154" s="2"/>
    </row>
    <row r="155" spans="3:7" x14ac:dyDescent="0.3">
      <c r="C155" s="16"/>
      <c r="E155" s="2"/>
      <c r="G155" s="2"/>
    </row>
    <row r="156" spans="3:7" x14ac:dyDescent="0.3">
      <c r="C156" s="16"/>
      <c r="E156" s="2"/>
      <c r="G156" s="2"/>
    </row>
    <row r="157" spans="3:7" x14ac:dyDescent="0.3">
      <c r="C157" s="16"/>
      <c r="E157" s="2"/>
      <c r="G157" s="2"/>
    </row>
    <row r="158" spans="3:7" x14ac:dyDescent="0.3">
      <c r="C158" s="16"/>
      <c r="E158" s="2"/>
      <c r="G158" s="2"/>
    </row>
    <row r="159" spans="3:7" x14ac:dyDescent="0.3">
      <c r="C159" s="16"/>
      <c r="E159" s="2"/>
      <c r="G159" s="2"/>
    </row>
    <row r="160" spans="3:7" x14ac:dyDescent="0.3">
      <c r="C160" s="16"/>
      <c r="E160" s="2"/>
      <c r="G160" s="2"/>
    </row>
    <row r="161" spans="3:7" x14ac:dyDescent="0.3">
      <c r="C161" s="16"/>
      <c r="E161" s="2"/>
      <c r="G161" s="2"/>
    </row>
    <row r="162" spans="3:7" x14ac:dyDescent="0.3">
      <c r="C162" s="16"/>
      <c r="E162" s="2"/>
      <c r="G162" s="2"/>
    </row>
    <row r="163" spans="3:7" x14ac:dyDescent="0.3">
      <c r="C163" s="16"/>
      <c r="E163" s="2"/>
      <c r="G163" s="2"/>
    </row>
    <row r="164" spans="3:7" x14ac:dyDescent="0.3">
      <c r="C164" s="16"/>
      <c r="E164" s="2"/>
      <c r="G164" s="2"/>
    </row>
    <row r="165" spans="3:7" x14ac:dyDescent="0.3">
      <c r="C165" s="16"/>
      <c r="E165" s="2"/>
      <c r="G165" s="2"/>
    </row>
    <row r="166" spans="3:7" x14ac:dyDescent="0.3">
      <c r="C166" s="16"/>
      <c r="E166" s="2"/>
      <c r="G166" s="2"/>
    </row>
    <row r="167" spans="3:7" x14ac:dyDescent="0.3">
      <c r="C167" s="16"/>
      <c r="E167" s="2"/>
      <c r="G167" s="2"/>
    </row>
    <row r="168" spans="3:7" x14ac:dyDescent="0.3">
      <c r="C168" s="16"/>
      <c r="E168" s="2"/>
      <c r="G168" s="2"/>
    </row>
    <row r="169" spans="3:7" x14ac:dyDescent="0.3">
      <c r="C169" s="16"/>
      <c r="E169" s="2"/>
      <c r="G169" s="2"/>
    </row>
    <row r="170" spans="3:7" x14ac:dyDescent="0.3">
      <c r="C170" s="16"/>
      <c r="E170" s="2"/>
      <c r="G170" s="2"/>
    </row>
    <row r="171" spans="3:7" x14ac:dyDescent="0.3">
      <c r="C171" s="16"/>
      <c r="E171" s="2"/>
      <c r="G171" s="2"/>
    </row>
    <row r="172" spans="3:7" x14ac:dyDescent="0.3">
      <c r="C172" s="16"/>
      <c r="E172" s="2"/>
      <c r="G172" s="2"/>
    </row>
    <row r="173" spans="3:7" x14ac:dyDescent="0.3">
      <c r="C173" s="16"/>
      <c r="E173" s="2"/>
      <c r="G173" s="2"/>
    </row>
    <row r="174" spans="3:7" x14ac:dyDescent="0.3">
      <c r="C174" s="16"/>
      <c r="E174" s="2"/>
      <c r="G174" s="2"/>
    </row>
    <row r="175" spans="3:7" x14ac:dyDescent="0.3">
      <c r="C175" s="16"/>
      <c r="E175" s="2"/>
      <c r="G175" s="2"/>
    </row>
    <row r="176" spans="3:7" x14ac:dyDescent="0.3">
      <c r="C176" s="16"/>
      <c r="E176" s="2"/>
      <c r="G176" s="2"/>
    </row>
    <row r="177" spans="3:7" x14ac:dyDescent="0.3">
      <c r="C177" s="16"/>
      <c r="E177" s="2"/>
      <c r="G177" s="2"/>
    </row>
    <row r="178" spans="3:7" x14ac:dyDescent="0.3">
      <c r="C178" s="16"/>
      <c r="E178" s="2"/>
      <c r="G178" s="2"/>
    </row>
    <row r="179" spans="3:7" x14ac:dyDescent="0.3">
      <c r="C179" s="16"/>
      <c r="E179" s="2"/>
      <c r="G179" s="2"/>
    </row>
    <row r="180" spans="3:7" x14ac:dyDescent="0.3">
      <c r="C180" s="16"/>
      <c r="E180" s="2"/>
      <c r="G180" s="2"/>
    </row>
    <row r="181" spans="3:7" x14ac:dyDescent="0.3">
      <c r="C181" s="16"/>
      <c r="E181" s="2"/>
      <c r="G181" s="2"/>
    </row>
    <row r="182" spans="3:7" x14ac:dyDescent="0.3">
      <c r="C182" s="16"/>
      <c r="E182" s="2"/>
      <c r="G182" s="2"/>
    </row>
    <row r="183" spans="3:7" x14ac:dyDescent="0.3">
      <c r="C183" s="16"/>
      <c r="E183" s="2"/>
      <c r="G183" s="2"/>
    </row>
    <row r="184" spans="3:7" x14ac:dyDescent="0.3">
      <c r="C184" s="16"/>
      <c r="E184" s="2"/>
      <c r="G184" s="2"/>
    </row>
    <row r="185" spans="3:7" x14ac:dyDescent="0.3">
      <c r="C185" s="16"/>
      <c r="E185" s="2"/>
      <c r="G185" s="2"/>
    </row>
    <row r="186" spans="3:7" x14ac:dyDescent="0.3">
      <c r="C186" s="16"/>
      <c r="E186" s="2"/>
      <c r="G186" s="2"/>
    </row>
    <row r="187" spans="3:7" x14ac:dyDescent="0.3">
      <c r="C187" s="16"/>
      <c r="E187" s="2"/>
      <c r="G187" s="2"/>
    </row>
    <row r="188" spans="3:7" x14ac:dyDescent="0.3">
      <c r="C188" s="16"/>
      <c r="E188" s="2"/>
      <c r="G188" s="2"/>
    </row>
    <row r="189" spans="3:7" x14ac:dyDescent="0.3">
      <c r="C189" s="16"/>
      <c r="E189" s="2"/>
      <c r="G189" s="2"/>
    </row>
    <row r="190" spans="3:7" x14ac:dyDescent="0.3">
      <c r="C190" s="16"/>
      <c r="E190" s="2"/>
      <c r="G190" s="2"/>
    </row>
    <row r="191" spans="3:7" x14ac:dyDescent="0.3">
      <c r="C191" s="16"/>
      <c r="E191" s="2"/>
      <c r="G191" s="2"/>
    </row>
    <row r="192" spans="3:7" x14ac:dyDescent="0.3">
      <c r="C192" s="16"/>
      <c r="E192" s="2"/>
      <c r="G192" s="2"/>
    </row>
    <row r="193" spans="3:7" x14ac:dyDescent="0.3">
      <c r="C193" s="16"/>
      <c r="E193" s="2"/>
      <c r="G193" s="2"/>
    </row>
    <row r="194" spans="3:7" x14ac:dyDescent="0.3">
      <c r="C194" s="16"/>
      <c r="E194" s="2"/>
      <c r="G194" s="2"/>
    </row>
    <row r="195" spans="3:7" x14ac:dyDescent="0.3">
      <c r="C195" s="16"/>
      <c r="E195" s="2"/>
      <c r="G195" s="2"/>
    </row>
    <row r="196" spans="3:7" x14ac:dyDescent="0.3">
      <c r="C196" s="16"/>
      <c r="E196" s="2"/>
      <c r="G196" s="2"/>
    </row>
    <row r="197" spans="3:7" x14ac:dyDescent="0.3">
      <c r="C197" s="16"/>
      <c r="E197" s="2"/>
      <c r="G197" s="2"/>
    </row>
    <row r="198" spans="3:7" x14ac:dyDescent="0.3">
      <c r="C198" s="16"/>
      <c r="E198" s="2"/>
      <c r="G198" s="2"/>
    </row>
    <row r="199" spans="3:7" x14ac:dyDescent="0.3">
      <c r="C199" s="16"/>
      <c r="E199" s="2"/>
      <c r="G199" s="2"/>
    </row>
    <row r="200" spans="3:7" x14ac:dyDescent="0.3">
      <c r="C200" s="16"/>
      <c r="E200" s="2"/>
      <c r="G200" s="2"/>
    </row>
    <row r="201" spans="3:7" x14ac:dyDescent="0.3">
      <c r="C201" s="16"/>
      <c r="E201" s="2"/>
      <c r="G201" s="2"/>
    </row>
    <row r="202" spans="3:7" x14ac:dyDescent="0.3">
      <c r="C202" s="16"/>
      <c r="E202" s="2"/>
      <c r="G202" s="2"/>
    </row>
    <row r="203" spans="3:7" x14ac:dyDescent="0.3">
      <c r="C203" s="16"/>
      <c r="E203" s="2"/>
      <c r="G203" s="2"/>
    </row>
    <row r="204" spans="3:7" x14ac:dyDescent="0.3">
      <c r="C204" s="16"/>
      <c r="E204" s="2"/>
      <c r="G204" s="2"/>
    </row>
    <row r="205" spans="3:7" x14ac:dyDescent="0.3">
      <c r="C205" s="16"/>
      <c r="E205" s="2"/>
      <c r="G205" s="2"/>
    </row>
    <row r="206" spans="3:7" x14ac:dyDescent="0.3">
      <c r="C206" s="16"/>
      <c r="E206" s="2"/>
      <c r="G206" s="2"/>
    </row>
    <row r="207" spans="3:7" x14ac:dyDescent="0.3">
      <c r="C207" s="16"/>
      <c r="E207" s="2"/>
      <c r="G207" s="2"/>
    </row>
    <row r="208" spans="3:7" x14ac:dyDescent="0.3">
      <c r="C208" s="16"/>
      <c r="E208" s="2"/>
      <c r="G208" s="2"/>
    </row>
    <row r="209" spans="3:7" x14ac:dyDescent="0.3">
      <c r="C209" s="16"/>
      <c r="E209" s="2"/>
      <c r="G209" s="2"/>
    </row>
    <row r="210" spans="3:7" x14ac:dyDescent="0.3">
      <c r="C210" s="16"/>
      <c r="E210" s="2"/>
      <c r="G210" s="2"/>
    </row>
    <row r="211" spans="3:7" x14ac:dyDescent="0.3">
      <c r="C211" s="16"/>
      <c r="E211" s="2"/>
      <c r="G211" s="2"/>
    </row>
    <row r="212" spans="3:7" x14ac:dyDescent="0.3">
      <c r="C212" s="16"/>
      <c r="E212" s="2"/>
      <c r="G212" s="2"/>
    </row>
    <row r="213" spans="3:7" x14ac:dyDescent="0.3">
      <c r="C213" s="16"/>
      <c r="E213" s="2"/>
      <c r="G213" s="2"/>
    </row>
    <row r="214" spans="3:7" x14ac:dyDescent="0.3">
      <c r="C214" s="16"/>
      <c r="E214" s="2"/>
      <c r="G214" s="2"/>
    </row>
    <row r="215" spans="3:7" x14ac:dyDescent="0.3">
      <c r="C215" s="16"/>
      <c r="E215" s="2"/>
      <c r="G215" s="2"/>
    </row>
    <row r="216" spans="3:7" x14ac:dyDescent="0.3">
      <c r="C216" s="16"/>
      <c r="E216" s="2"/>
      <c r="G216" s="2"/>
    </row>
    <row r="217" spans="3:7" x14ac:dyDescent="0.3">
      <c r="C217" s="16"/>
      <c r="E217" s="2"/>
      <c r="G217" s="2"/>
    </row>
    <row r="218" spans="3:7" x14ac:dyDescent="0.3">
      <c r="C218" s="16"/>
      <c r="E218" s="2"/>
      <c r="G218" s="2"/>
    </row>
    <row r="219" spans="3:7" x14ac:dyDescent="0.3">
      <c r="C219" s="16"/>
      <c r="E219" s="2"/>
      <c r="G219" s="2"/>
    </row>
    <row r="220" spans="3:7" x14ac:dyDescent="0.3">
      <c r="C220" s="16"/>
      <c r="E220" s="2"/>
      <c r="G220" s="2"/>
    </row>
    <row r="221" spans="3:7" x14ac:dyDescent="0.3">
      <c r="C221" s="16"/>
      <c r="E221" s="2"/>
      <c r="G221" s="2"/>
    </row>
    <row r="222" spans="3:7" x14ac:dyDescent="0.3">
      <c r="C222" s="16"/>
      <c r="E222" s="2"/>
      <c r="G222" s="2"/>
    </row>
    <row r="223" spans="3:7" x14ac:dyDescent="0.3">
      <c r="C223" s="16"/>
      <c r="E223" s="2"/>
      <c r="G223" s="2"/>
    </row>
    <row r="224" spans="3:7" x14ac:dyDescent="0.3">
      <c r="C224" s="16"/>
      <c r="E224" s="2"/>
      <c r="G224" s="2"/>
    </row>
    <row r="225" spans="3:7" x14ac:dyDescent="0.3">
      <c r="C225" s="16"/>
      <c r="E225" s="2"/>
      <c r="G225" s="2"/>
    </row>
    <row r="226" spans="3:7" x14ac:dyDescent="0.3">
      <c r="C226" s="16"/>
      <c r="E226" s="2"/>
      <c r="G226" s="2"/>
    </row>
    <row r="227" spans="3:7" x14ac:dyDescent="0.3">
      <c r="C227" s="16"/>
      <c r="E227" s="2"/>
      <c r="G227" s="2"/>
    </row>
    <row r="228" spans="3:7" x14ac:dyDescent="0.3">
      <c r="C228" s="16"/>
      <c r="E228" s="2"/>
      <c r="G228" s="2"/>
    </row>
    <row r="229" spans="3:7" x14ac:dyDescent="0.3">
      <c r="C229" s="16"/>
      <c r="E229" s="2"/>
      <c r="G229" s="2"/>
    </row>
    <row r="230" spans="3:7" x14ac:dyDescent="0.3">
      <c r="C230" s="16"/>
      <c r="E230" s="2"/>
      <c r="G230" s="2"/>
    </row>
    <row r="231" spans="3:7" x14ac:dyDescent="0.3">
      <c r="C231" s="16"/>
      <c r="E231" s="2"/>
      <c r="G231" s="2"/>
    </row>
    <row r="232" spans="3:7" x14ac:dyDescent="0.3">
      <c r="C232" s="16"/>
      <c r="E232" s="2"/>
      <c r="G232" s="2"/>
    </row>
    <row r="233" spans="3:7" x14ac:dyDescent="0.3">
      <c r="C233" s="16"/>
      <c r="E233" s="2"/>
      <c r="G233" s="2"/>
    </row>
    <row r="234" spans="3:7" x14ac:dyDescent="0.3">
      <c r="C234" s="16"/>
      <c r="E234" s="2"/>
      <c r="G234" s="2"/>
    </row>
    <row r="235" spans="3:7" x14ac:dyDescent="0.3">
      <c r="C235" s="16"/>
      <c r="E235" s="2"/>
      <c r="G235" s="2"/>
    </row>
    <row r="236" spans="3:7" x14ac:dyDescent="0.3">
      <c r="C236" s="16"/>
      <c r="E236" s="2"/>
      <c r="G236" s="2"/>
    </row>
    <row r="237" spans="3:7" x14ac:dyDescent="0.3">
      <c r="C237" s="16"/>
      <c r="E237" s="2"/>
      <c r="G237" s="2"/>
    </row>
    <row r="238" spans="3:7" x14ac:dyDescent="0.3">
      <c r="C238" s="16"/>
      <c r="E238" s="2"/>
      <c r="G238" s="2"/>
    </row>
    <row r="239" spans="3:7" x14ac:dyDescent="0.3">
      <c r="C239" s="16"/>
      <c r="E239" s="2"/>
      <c r="G239" s="2"/>
    </row>
    <row r="240" spans="3:7" x14ac:dyDescent="0.3">
      <c r="C240" s="16"/>
      <c r="E240" s="2"/>
      <c r="G240" s="2"/>
    </row>
    <row r="241" spans="3:7" x14ac:dyDescent="0.3">
      <c r="C241" s="16"/>
      <c r="E241" s="2"/>
      <c r="G241" s="2"/>
    </row>
    <row r="242" spans="3:7" x14ac:dyDescent="0.3">
      <c r="C242" s="16"/>
      <c r="E242" s="2"/>
      <c r="G242" s="2"/>
    </row>
    <row r="243" spans="3:7" x14ac:dyDescent="0.3">
      <c r="C243" s="16"/>
      <c r="E243" s="2"/>
      <c r="G243" s="2"/>
    </row>
    <row r="244" spans="3:7" x14ac:dyDescent="0.3">
      <c r="C244" s="16"/>
      <c r="E244" s="2"/>
      <c r="G244" s="2"/>
    </row>
    <row r="245" spans="3:7" x14ac:dyDescent="0.3">
      <c r="C245" s="16"/>
      <c r="E245" s="2"/>
      <c r="G245" s="2"/>
    </row>
    <row r="246" spans="3:7" x14ac:dyDescent="0.3">
      <c r="C246" s="16"/>
      <c r="E246" s="2"/>
      <c r="G246" s="2"/>
    </row>
    <row r="247" spans="3:7" x14ac:dyDescent="0.3">
      <c r="C247" s="16"/>
      <c r="E247" s="2"/>
      <c r="G247" s="2"/>
    </row>
    <row r="248" spans="3:7" x14ac:dyDescent="0.3">
      <c r="C248" s="16"/>
      <c r="E248" s="2"/>
      <c r="G248" s="2"/>
    </row>
    <row r="249" spans="3:7" x14ac:dyDescent="0.3">
      <c r="C249" s="16"/>
      <c r="E249" s="2"/>
      <c r="G249" s="2"/>
    </row>
    <row r="250" spans="3:7" x14ac:dyDescent="0.3">
      <c r="C250" s="16"/>
      <c r="E250" s="2"/>
      <c r="G250" s="2"/>
    </row>
    <row r="251" spans="3:7" x14ac:dyDescent="0.3">
      <c r="C251" s="16"/>
      <c r="E251" s="2"/>
      <c r="G251" s="2"/>
    </row>
    <row r="252" spans="3:7" x14ac:dyDescent="0.3">
      <c r="C252" s="16"/>
      <c r="E252" s="2"/>
      <c r="G252" s="2"/>
    </row>
    <row r="253" spans="3:7" x14ac:dyDescent="0.3">
      <c r="C253" s="16"/>
      <c r="E253" s="2"/>
      <c r="G253" s="2"/>
    </row>
    <row r="254" spans="3:7" x14ac:dyDescent="0.3">
      <c r="C254" s="16"/>
      <c r="E254" s="2"/>
      <c r="G254" s="2"/>
    </row>
    <row r="255" spans="3:7" x14ac:dyDescent="0.3">
      <c r="C255" s="16"/>
      <c r="E255" s="2"/>
      <c r="G255" s="2"/>
    </row>
    <row r="256" spans="3:7" x14ac:dyDescent="0.3">
      <c r="C256" s="16"/>
      <c r="E256" s="2"/>
      <c r="G256" s="2"/>
    </row>
    <row r="257" spans="3:7" x14ac:dyDescent="0.3">
      <c r="C257" s="16"/>
      <c r="E257" s="2"/>
      <c r="G257" s="2"/>
    </row>
    <row r="258" spans="3:7" x14ac:dyDescent="0.3">
      <c r="C258" s="16"/>
      <c r="E258" s="2"/>
      <c r="G258" s="2"/>
    </row>
    <row r="259" spans="3:7" x14ac:dyDescent="0.3">
      <c r="C259" s="16"/>
      <c r="E259" s="2"/>
      <c r="G259" s="2"/>
    </row>
    <row r="260" spans="3:7" x14ac:dyDescent="0.3">
      <c r="C260" s="16"/>
      <c r="E260" s="2"/>
      <c r="G260" s="2"/>
    </row>
    <row r="261" spans="3:7" x14ac:dyDescent="0.3">
      <c r="C261" s="16"/>
      <c r="E261" s="2"/>
      <c r="G261" s="2"/>
    </row>
    <row r="262" spans="3:7" x14ac:dyDescent="0.3">
      <c r="C262" s="16"/>
      <c r="E262" s="2"/>
      <c r="G262" s="2"/>
    </row>
    <row r="263" spans="3:7" x14ac:dyDescent="0.3">
      <c r="C263" s="16"/>
      <c r="E263" s="2"/>
      <c r="G263" s="2"/>
    </row>
    <row r="264" spans="3:7" x14ac:dyDescent="0.3">
      <c r="C264" s="16"/>
      <c r="E264" s="2"/>
      <c r="G264" s="2"/>
    </row>
    <row r="265" spans="3:7" x14ac:dyDescent="0.3">
      <c r="C265" s="16"/>
      <c r="E265" s="2"/>
      <c r="G265" s="2"/>
    </row>
    <row r="266" spans="3:7" x14ac:dyDescent="0.3">
      <c r="C266" s="16"/>
      <c r="E266" s="2"/>
      <c r="G266" s="2"/>
    </row>
    <row r="267" spans="3:7" x14ac:dyDescent="0.3">
      <c r="C267" s="16"/>
      <c r="E267" s="2"/>
      <c r="G267" s="2"/>
    </row>
    <row r="268" spans="3:7" x14ac:dyDescent="0.3">
      <c r="C268" s="16"/>
      <c r="E268" s="2"/>
      <c r="G268" s="2"/>
    </row>
    <row r="269" spans="3:7" x14ac:dyDescent="0.3">
      <c r="C269" s="16"/>
      <c r="E269" s="2"/>
      <c r="G269" s="2"/>
    </row>
    <row r="270" spans="3:7" x14ac:dyDescent="0.3">
      <c r="C270" s="16"/>
      <c r="E270" s="2"/>
      <c r="G270" s="2"/>
    </row>
    <row r="271" spans="3:7" x14ac:dyDescent="0.3">
      <c r="C271" s="16"/>
      <c r="E271" s="2"/>
      <c r="G271" s="2"/>
    </row>
    <row r="272" spans="3:7" x14ac:dyDescent="0.3">
      <c r="C272" s="16"/>
      <c r="E272" s="2"/>
      <c r="G272" s="2"/>
    </row>
    <row r="273" spans="3:7" x14ac:dyDescent="0.3">
      <c r="C273" s="16"/>
      <c r="E273" s="2"/>
      <c r="G273" s="2"/>
    </row>
    <row r="274" spans="3:7" x14ac:dyDescent="0.3">
      <c r="C274" s="16"/>
      <c r="E274" s="2"/>
      <c r="G274" s="2"/>
    </row>
    <row r="275" spans="3:7" x14ac:dyDescent="0.3">
      <c r="C275" s="16"/>
      <c r="E275" s="2"/>
      <c r="G275" s="2"/>
    </row>
    <row r="276" spans="3:7" x14ac:dyDescent="0.3">
      <c r="C276" s="16"/>
      <c r="E276" s="2"/>
      <c r="G276" s="2"/>
    </row>
    <row r="277" spans="3:7" x14ac:dyDescent="0.3">
      <c r="C277" s="16"/>
      <c r="E277" s="2"/>
      <c r="G277" s="2"/>
    </row>
    <row r="278" spans="3:7" x14ac:dyDescent="0.3">
      <c r="C278" s="16"/>
      <c r="E278" s="2"/>
      <c r="G278" s="2"/>
    </row>
    <row r="279" spans="3:7" x14ac:dyDescent="0.3">
      <c r="C279" s="16"/>
      <c r="E279" s="2"/>
      <c r="G279" s="2"/>
    </row>
    <row r="280" spans="3:7" x14ac:dyDescent="0.3">
      <c r="C280" s="16"/>
      <c r="E280" s="2"/>
      <c r="G280" s="2"/>
    </row>
    <row r="281" spans="3:7" x14ac:dyDescent="0.3">
      <c r="C281" s="16"/>
      <c r="E281" s="2"/>
      <c r="G281" s="2"/>
    </row>
    <row r="282" spans="3:7" x14ac:dyDescent="0.3">
      <c r="C282" s="16"/>
      <c r="E282" s="2"/>
      <c r="G282" s="2"/>
    </row>
    <row r="283" spans="3:7" x14ac:dyDescent="0.3">
      <c r="C283" s="16"/>
      <c r="E283" s="2"/>
      <c r="G283" s="2"/>
    </row>
    <row r="284" spans="3:7" x14ac:dyDescent="0.3">
      <c r="C284" s="16"/>
      <c r="E284" s="2"/>
      <c r="G284" s="2"/>
    </row>
    <row r="285" spans="3:7" x14ac:dyDescent="0.3">
      <c r="C285" s="16"/>
      <c r="E285" s="2"/>
      <c r="G285" s="2"/>
    </row>
    <row r="286" spans="3:7" x14ac:dyDescent="0.3">
      <c r="C286" s="16"/>
      <c r="E286" s="2"/>
      <c r="G286" s="2"/>
    </row>
    <row r="287" spans="3:7" x14ac:dyDescent="0.3">
      <c r="C287" s="16"/>
      <c r="E287" s="2"/>
      <c r="G287" s="2"/>
    </row>
    <row r="288" spans="3:7" x14ac:dyDescent="0.3">
      <c r="C288" s="16"/>
      <c r="E288" s="2"/>
      <c r="G288" s="2"/>
    </row>
    <row r="289" spans="3:7" x14ac:dyDescent="0.3">
      <c r="C289" s="16"/>
      <c r="E289" s="2"/>
      <c r="G289" s="2"/>
    </row>
    <row r="290" spans="3:7" x14ac:dyDescent="0.3">
      <c r="C290" s="16"/>
      <c r="E290" s="2"/>
      <c r="G290" s="2"/>
    </row>
    <row r="291" spans="3:7" x14ac:dyDescent="0.3">
      <c r="C291" s="16"/>
      <c r="E291" s="2"/>
      <c r="G291" s="2"/>
    </row>
    <row r="292" spans="3:7" x14ac:dyDescent="0.3">
      <c r="C292" s="16"/>
      <c r="E292" s="2"/>
      <c r="G292" s="2"/>
    </row>
    <row r="293" spans="3:7" x14ac:dyDescent="0.3">
      <c r="C293" s="16"/>
      <c r="E293" s="2"/>
      <c r="G293" s="2"/>
    </row>
    <row r="294" spans="3:7" x14ac:dyDescent="0.3">
      <c r="C294" s="16"/>
      <c r="E294" s="2"/>
      <c r="G294" s="2"/>
    </row>
    <row r="295" spans="3:7" x14ac:dyDescent="0.3">
      <c r="C295" s="16"/>
      <c r="E295" s="2"/>
      <c r="G295" s="2"/>
    </row>
    <row r="296" spans="3:7" x14ac:dyDescent="0.3">
      <c r="C296" s="16"/>
      <c r="E296" s="2"/>
      <c r="G296" s="2"/>
    </row>
    <row r="297" spans="3:7" x14ac:dyDescent="0.3">
      <c r="C297" s="16"/>
      <c r="E297" s="2"/>
      <c r="G297" s="2"/>
    </row>
    <row r="298" spans="3:7" x14ac:dyDescent="0.3">
      <c r="C298" s="16"/>
      <c r="E298" s="2"/>
      <c r="G298" s="2"/>
    </row>
    <row r="299" spans="3:7" x14ac:dyDescent="0.3">
      <c r="C299" s="16"/>
      <c r="E299" s="2"/>
      <c r="G299" s="2"/>
    </row>
    <row r="300" spans="3:7" x14ac:dyDescent="0.3">
      <c r="C300" s="16"/>
      <c r="E300" s="2"/>
      <c r="G300" s="2"/>
    </row>
    <row r="301" spans="3:7" x14ac:dyDescent="0.3">
      <c r="C301" s="16"/>
      <c r="E301" s="2"/>
      <c r="G301" s="2"/>
    </row>
    <row r="302" spans="3:7" x14ac:dyDescent="0.3">
      <c r="C302" s="16"/>
      <c r="E302" s="2"/>
      <c r="G302" s="2"/>
    </row>
    <row r="303" spans="3:7" x14ac:dyDescent="0.3">
      <c r="C303" s="16"/>
      <c r="E303" s="2"/>
      <c r="G303" s="2"/>
    </row>
    <row r="304" spans="3:7" x14ac:dyDescent="0.3">
      <c r="C304" s="16"/>
      <c r="E304" s="2"/>
      <c r="G304" s="2"/>
    </row>
    <row r="305" spans="3:7" x14ac:dyDescent="0.3">
      <c r="C305" s="16"/>
      <c r="E305" s="2"/>
      <c r="G305" s="2"/>
    </row>
    <row r="306" spans="3:7" x14ac:dyDescent="0.3">
      <c r="C306" s="16"/>
      <c r="E306" s="2"/>
      <c r="G306" s="2"/>
    </row>
    <row r="307" spans="3:7" x14ac:dyDescent="0.3">
      <c r="C307" s="16"/>
      <c r="E307" s="2"/>
      <c r="G307" s="2"/>
    </row>
    <row r="308" spans="3:7" x14ac:dyDescent="0.3">
      <c r="C308" s="16"/>
      <c r="E308" s="2"/>
      <c r="G308" s="2"/>
    </row>
    <row r="309" spans="3:7" x14ac:dyDescent="0.3">
      <c r="C309" s="16"/>
      <c r="E309" s="2"/>
      <c r="G309" s="2"/>
    </row>
    <row r="310" spans="3:7" x14ac:dyDescent="0.3">
      <c r="C310" s="16"/>
      <c r="E310" s="2"/>
      <c r="G310" s="2"/>
    </row>
    <row r="311" spans="3:7" x14ac:dyDescent="0.3">
      <c r="C311" s="16"/>
      <c r="E311" s="2"/>
      <c r="G311" s="2"/>
    </row>
    <row r="312" spans="3:7" x14ac:dyDescent="0.3">
      <c r="C312" s="16"/>
      <c r="E312" s="2"/>
      <c r="G312" s="2"/>
    </row>
    <row r="313" spans="3:7" x14ac:dyDescent="0.3">
      <c r="C313" s="16"/>
      <c r="E313" s="2"/>
      <c r="G313" s="2"/>
    </row>
    <row r="314" spans="3:7" x14ac:dyDescent="0.3">
      <c r="C314" s="16"/>
      <c r="E314" s="2"/>
      <c r="G314" s="2"/>
    </row>
    <row r="315" spans="3:7" x14ac:dyDescent="0.3">
      <c r="C315" s="16"/>
      <c r="E315" s="2"/>
      <c r="G315" s="2"/>
    </row>
    <row r="316" spans="3:7" x14ac:dyDescent="0.3">
      <c r="C316" s="16"/>
      <c r="E316" s="2"/>
      <c r="G316" s="2"/>
    </row>
    <row r="317" spans="3:7" x14ac:dyDescent="0.3">
      <c r="C317" s="16"/>
      <c r="E317" s="2"/>
      <c r="G317" s="2"/>
    </row>
    <row r="318" spans="3:7" x14ac:dyDescent="0.3">
      <c r="C318" s="16"/>
      <c r="E318" s="2"/>
      <c r="G318" s="2"/>
    </row>
    <row r="319" spans="3:7" x14ac:dyDescent="0.3">
      <c r="C319" s="16"/>
      <c r="E319" s="2"/>
      <c r="G319" s="2"/>
    </row>
    <row r="320" spans="3:7" x14ac:dyDescent="0.3">
      <c r="C320" s="16"/>
      <c r="E320" s="2"/>
      <c r="G320" s="2"/>
    </row>
    <row r="321" spans="3:7" x14ac:dyDescent="0.3">
      <c r="C321" s="16"/>
      <c r="E321" s="2"/>
      <c r="G321" s="2"/>
    </row>
    <row r="322" spans="3:7" x14ac:dyDescent="0.3">
      <c r="C322" s="16"/>
      <c r="E322" s="2"/>
      <c r="G322" s="2"/>
    </row>
    <row r="323" spans="3:7" x14ac:dyDescent="0.3">
      <c r="C323" s="16"/>
      <c r="E323" s="2"/>
      <c r="G323" s="2"/>
    </row>
    <row r="324" spans="3:7" x14ac:dyDescent="0.3">
      <c r="C324" s="16"/>
      <c r="E324" s="2"/>
      <c r="G324" s="2"/>
    </row>
    <row r="325" spans="3:7" x14ac:dyDescent="0.3">
      <c r="C325" s="16"/>
      <c r="E325" s="2"/>
      <c r="G325" s="2"/>
    </row>
    <row r="326" spans="3:7" x14ac:dyDescent="0.3">
      <c r="C326" s="16"/>
      <c r="E326" s="2"/>
      <c r="G326" s="2"/>
    </row>
    <row r="327" spans="3:7" x14ac:dyDescent="0.3">
      <c r="C327" s="16"/>
      <c r="E327" s="2"/>
      <c r="G327" s="2"/>
    </row>
    <row r="328" spans="3:7" x14ac:dyDescent="0.3">
      <c r="C328" s="16"/>
      <c r="E328" s="2"/>
      <c r="G328" s="2"/>
    </row>
    <row r="329" spans="3:7" x14ac:dyDescent="0.3">
      <c r="C329" s="16"/>
      <c r="E329" s="2"/>
      <c r="G329" s="2"/>
    </row>
    <row r="330" spans="3:7" x14ac:dyDescent="0.3">
      <c r="C330" s="16"/>
      <c r="E330" s="2"/>
      <c r="G330" s="2"/>
    </row>
    <row r="331" spans="3:7" x14ac:dyDescent="0.3">
      <c r="C331" s="16"/>
      <c r="E331" s="2"/>
      <c r="G331" s="2"/>
    </row>
    <row r="332" spans="3:7" x14ac:dyDescent="0.3">
      <c r="C332" s="16"/>
      <c r="E332" s="2"/>
      <c r="G332" s="2"/>
    </row>
    <row r="333" spans="3:7" x14ac:dyDescent="0.3">
      <c r="C333" s="16"/>
      <c r="E333" s="2"/>
      <c r="G333" s="2"/>
    </row>
    <row r="334" spans="3:7" x14ac:dyDescent="0.3">
      <c r="C334" s="16"/>
      <c r="E334" s="2"/>
      <c r="G334" s="2"/>
    </row>
    <row r="335" spans="3:7" x14ac:dyDescent="0.3">
      <c r="C335" s="16"/>
      <c r="E335" s="2"/>
      <c r="G335" s="2"/>
    </row>
    <row r="336" spans="3:7" x14ac:dyDescent="0.3">
      <c r="C336" s="16"/>
      <c r="E336" s="2"/>
      <c r="G336" s="2"/>
    </row>
    <row r="337" spans="3:7" x14ac:dyDescent="0.3">
      <c r="C337" s="16"/>
      <c r="E337" s="2"/>
      <c r="G337" s="2"/>
    </row>
    <row r="338" spans="3:7" x14ac:dyDescent="0.3">
      <c r="C338" s="16"/>
      <c r="E338" s="2"/>
      <c r="G338" s="2"/>
    </row>
    <row r="339" spans="3:7" x14ac:dyDescent="0.3">
      <c r="C339" s="16"/>
      <c r="E339" s="2"/>
      <c r="G339" s="2"/>
    </row>
    <row r="340" spans="3:7" x14ac:dyDescent="0.3">
      <c r="C340" s="16"/>
      <c r="E340" s="2"/>
      <c r="G340" s="2"/>
    </row>
    <row r="341" spans="3:7" x14ac:dyDescent="0.3">
      <c r="C341" s="16"/>
      <c r="E341" s="2"/>
      <c r="G341" s="2"/>
    </row>
    <row r="342" spans="3:7" x14ac:dyDescent="0.3">
      <c r="C342" s="16"/>
      <c r="E342" s="2"/>
      <c r="G342" s="2"/>
    </row>
    <row r="343" spans="3:7" x14ac:dyDescent="0.3">
      <c r="C343" s="16"/>
      <c r="E343" s="2"/>
      <c r="G343" s="2"/>
    </row>
    <row r="344" spans="3:7" x14ac:dyDescent="0.3">
      <c r="C344" s="16"/>
      <c r="E344" s="2"/>
      <c r="G344" s="2"/>
    </row>
    <row r="345" spans="3:7" x14ac:dyDescent="0.3">
      <c r="C345" s="16"/>
      <c r="E345" s="2"/>
      <c r="G345" s="2"/>
    </row>
    <row r="346" spans="3:7" x14ac:dyDescent="0.3">
      <c r="C346" s="16"/>
      <c r="E346" s="2"/>
      <c r="G346" s="2"/>
    </row>
    <row r="347" spans="3:7" x14ac:dyDescent="0.3">
      <c r="C347" s="16"/>
      <c r="E347" s="2"/>
      <c r="G347" s="2"/>
    </row>
    <row r="348" spans="3:7" x14ac:dyDescent="0.3">
      <c r="C348" s="16"/>
      <c r="E348" s="2"/>
      <c r="G348" s="2"/>
    </row>
    <row r="349" spans="3:7" x14ac:dyDescent="0.3">
      <c r="C349" s="16"/>
      <c r="E349" s="2"/>
      <c r="G349" s="2"/>
    </row>
    <row r="350" spans="3:7" x14ac:dyDescent="0.3">
      <c r="C350" s="16"/>
      <c r="E350" s="2"/>
      <c r="G350" s="2"/>
    </row>
    <row r="351" spans="3:7" x14ac:dyDescent="0.3">
      <c r="C351" s="16"/>
      <c r="E351" s="2"/>
      <c r="G351" s="2"/>
    </row>
    <row r="352" spans="3:7" x14ac:dyDescent="0.3">
      <c r="C352" s="16"/>
      <c r="E352" s="2"/>
      <c r="G352" s="2"/>
    </row>
    <row r="353" spans="3:7" x14ac:dyDescent="0.3">
      <c r="C353" s="16"/>
      <c r="E353" s="2"/>
      <c r="G353" s="2"/>
    </row>
    <row r="354" spans="3:7" x14ac:dyDescent="0.3">
      <c r="C354" s="16"/>
      <c r="E354" s="2"/>
      <c r="G354" s="2"/>
    </row>
    <row r="355" spans="3:7" x14ac:dyDescent="0.3">
      <c r="C355" s="16"/>
      <c r="E355" s="2"/>
      <c r="G355" s="2"/>
    </row>
    <row r="356" spans="3:7" x14ac:dyDescent="0.3">
      <c r="C356" s="16"/>
      <c r="E356" s="2"/>
      <c r="G356" s="2"/>
    </row>
    <row r="357" spans="3:7" x14ac:dyDescent="0.3">
      <c r="C357" s="16"/>
      <c r="E357" s="2"/>
      <c r="G357" s="2"/>
    </row>
    <row r="358" spans="3:7" x14ac:dyDescent="0.3">
      <c r="C358" s="16"/>
      <c r="E358" s="2"/>
    </row>
    <row r="359" spans="3:7" x14ac:dyDescent="0.3">
      <c r="C359" s="16"/>
      <c r="E359" s="2"/>
    </row>
    <row r="360" spans="3:7" x14ac:dyDescent="0.3">
      <c r="C360" s="16"/>
      <c r="E360" s="2"/>
    </row>
    <row r="361" spans="3:7" x14ac:dyDescent="0.3">
      <c r="C361" s="16"/>
      <c r="E361" s="2"/>
    </row>
    <row r="362" spans="3:7" x14ac:dyDescent="0.3">
      <c r="C362" s="16"/>
      <c r="E362" s="2"/>
    </row>
    <row r="363" spans="3:7" x14ac:dyDescent="0.3">
      <c r="C363" s="16"/>
      <c r="E363" s="2"/>
    </row>
    <row r="364" spans="3:7" x14ac:dyDescent="0.3">
      <c r="C364" s="16"/>
      <c r="E364" s="2"/>
    </row>
    <row r="365" spans="3:7" x14ac:dyDescent="0.3">
      <c r="C365" s="16"/>
      <c r="E365" s="2"/>
    </row>
    <row r="366" spans="3:7" x14ac:dyDescent="0.3">
      <c r="C366" s="16"/>
      <c r="E366" s="2"/>
    </row>
    <row r="367" spans="3:7" x14ac:dyDescent="0.3">
      <c r="C367" s="16"/>
      <c r="E367" s="2"/>
    </row>
    <row r="368" spans="3:7" x14ac:dyDescent="0.3">
      <c r="C368" s="16"/>
      <c r="E368" s="2"/>
    </row>
    <row r="369" spans="3:5" x14ac:dyDescent="0.3">
      <c r="C369" s="16"/>
      <c r="E369" s="2"/>
    </row>
    <row r="370" spans="3:5" x14ac:dyDescent="0.3">
      <c r="C370" s="16"/>
      <c r="E370" s="2"/>
    </row>
    <row r="371" spans="3:5" x14ac:dyDescent="0.3">
      <c r="C371" s="16"/>
      <c r="E371" s="2"/>
    </row>
    <row r="372" spans="3:5" x14ac:dyDescent="0.3">
      <c r="C372" s="16"/>
      <c r="E372" s="2"/>
    </row>
    <row r="373" spans="3:5" x14ac:dyDescent="0.3">
      <c r="C373" s="16"/>
      <c r="E373" s="2"/>
    </row>
    <row r="374" spans="3:5" x14ac:dyDescent="0.3">
      <c r="C374" s="16"/>
      <c r="E374" s="2"/>
    </row>
    <row r="375" spans="3:5" x14ac:dyDescent="0.3">
      <c r="C375" s="16"/>
      <c r="E375" s="2"/>
    </row>
    <row r="376" spans="3:5" x14ac:dyDescent="0.3">
      <c r="C376" s="16"/>
      <c r="E376" s="2"/>
    </row>
    <row r="377" spans="3:5" x14ac:dyDescent="0.3">
      <c r="C377" s="16"/>
      <c r="E377" s="2"/>
    </row>
    <row r="378" spans="3:5" x14ac:dyDescent="0.3">
      <c r="C378" s="16"/>
      <c r="E378" s="2"/>
    </row>
    <row r="379" spans="3:5" x14ac:dyDescent="0.3">
      <c r="C379" s="16"/>
      <c r="E379" s="2"/>
    </row>
    <row r="380" spans="3:5" x14ac:dyDescent="0.3">
      <c r="C380" s="16"/>
      <c r="E380" s="2"/>
    </row>
    <row r="381" spans="3:5" x14ac:dyDescent="0.3">
      <c r="C381" s="16"/>
      <c r="E381" s="2"/>
    </row>
    <row r="382" spans="3:5" x14ac:dyDescent="0.3">
      <c r="C382" s="16"/>
      <c r="E382" s="2"/>
    </row>
    <row r="383" spans="3:5" x14ac:dyDescent="0.3">
      <c r="C383" s="16"/>
      <c r="E383" s="2"/>
    </row>
    <row r="384" spans="3:5" x14ac:dyDescent="0.3">
      <c r="C384" s="16"/>
      <c r="E384" s="2"/>
    </row>
    <row r="385" spans="3:5" x14ac:dyDescent="0.3">
      <c r="C385" s="16"/>
      <c r="E385" s="2"/>
    </row>
    <row r="386" spans="3:5" x14ac:dyDescent="0.3">
      <c r="C386" s="16"/>
      <c r="E386" s="2"/>
    </row>
    <row r="387" spans="3:5" x14ac:dyDescent="0.3">
      <c r="C387" s="16"/>
      <c r="E387" s="2"/>
    </row>
    <row r="388" spans="3:5" x14ac:dyDescent="0.3">
      <c r="C388" s="16"/>
      <c r="E388" s="2"/>
    </row>
    <row r="389" spans="3:5" x14ac:dyDescent="0.3">
      <c r="C389" s="16"/>
      <c r="E389" s="2"/>
    </row>
    <row r="390" spans="3:5" x14ac:dyDescent="0.3">
      <c r="C390" s="16"/>
      <c r="E390" s="2"/>
    </row>
    <row r="391" spans="3:5" x14ac:dyDescent="0.3">
      <c r="C391" s="16"/>
      <c r="E391" s="2"/>
    </row>
    <row r="392" spans="3:5" x14ac:dyDescent="0.3">
      <c r="C392" s="16"/>
      <c r="E392" s="2"/>
    </row>
    <row r="393" spans="3:5" x14ac:dyDescent="0.3">
      <c r="C393" s="16"/>
      <c r="E393" s="2"/>
    </row>
    <row r="394" spans="3:5" x14ac:dyDescent="0.3">
      <c r="C394" s="16"/>
      <c r="E394" s="2"/>
    </row>
    <row r="395" spans="3:5" x14ac:dyDescent="0.3">
      <c r="C395" s="16"/>
      <c r="E395" s="2"/>
    </row>
    <row r="396" spans="3:5" x14ac:dyDescent="0.3">
      <c r="C396" s="16"/>
      <c r="E396" s="2"/>
    </row>
    <row r="397" spans="3:5" x14ac:dyDescent="0.3">
      <c r="C397" s="16"/>
      <c r="E397" s="2"/>
    </row>
    <row r="398" spans="3:5" x14ac:dyDescent="0.3">
      <c r="C398" s="16"/>
      <c r="E398" s="2"/>
    </row>
    <row r="399" spans="3:5" x14ac:dyDescent="0.3">
      <c r="C399" s="16"/>
      <c r="E399" s="2"/>
    </row>
    <row r="400" spans="3:5" x14ac:dyDescent="0.3">
      <c r="C400" s="16"/>
      <c r="E400" s="2"/>
    </row>
    <row r="401" spans="3:5" x14ac:dyDescent="0.3">
      <c r="C401" s="16"/>
      <c r="E401" s="2"/>
    </row>
    <row r="402" spans="3:5" x14ac:dyDescent="0.3">
      <c r="C402" s="16"/>
      <c r="E402" s="2"/>
    </row>
    <row r="403" spans="3:5" x14ac:dyDescent="0.3">
      <c r="C403" s="16"/>
      <c r="E403" s="2"/>
    </row>
    <row r="404" spans="3:5" x14ac:dyDescent="0.3">
      <c r="C404" s="16"/>
      <c r="E404" s="2"/>
    </row>
    <row r="405" spans="3:5" x14ac:dyDescent="0.3">
      <c r="C405" s="16"/>
      <c r="E405" s="2"/>
    </row>
    <row r="406" spans="3:5" x14ac:dyDescent="0.3">
      <c r="C406" s="16"/>
      <c r="E406" s="2"/>
    </row>
    <row r="407" spans="3:5" x14ac:dyDescent="0.3">
      <c r="C407" s="16"/>
      <c r="E407" s="2"/>
    </row>
    <row r="408" spans="3:5" x14ac:dyDescent="0.3">
      <c r="C408" s="16"/>
      <c r="E408" s="2"/>
    </row>
    <row r="409" spans="3:5" x14ac:dyDescent="0.3">
      <c r="C409" s="16"/>
      <c r="E409" s="2"/>
    </row>
    <row r="410" spans="3:5" x14ac:dyDescent="0.3">
      <c r="C410" s="16"/>
      <c r="E410" s="2"/>
    </row>
    <row r="411" spans="3:5" x14ac:dyDescent="0.3">
      <c r="C411" s="16"/>
      <c r="E411" s="2"/>
    </row>
    <row r="412" spans="3:5" x14ac:dyDescent="0.3">
      <c r="C412" s="16"/>
      <c r="E412" s="2"/>
    </row>
    <row r="413" spans="3:5" x14ac:dyDescent="0.3">
      <c r="C413" s="16"/>
      <c r="E413" s="2"/>
    </row>
    <row r="414" spans="3:5" x14ac:dyDescent="0.3">
      <c r="C414" s="16"/>
      <c r="E414" s="2"/>
    </row>
    <row r="415" spans="3:5" x14ac:dyDescent="0.3">
      <c r="C415" s="16"/>
      <c r="E415" s="2"/>
    </row>
    <row r="416" spans="3:5" x14ac:dyDescent="0.3">
      <c r="C416" s="16"/>
      <c r="E416" s="2"/>
    </row>
    <row r="417" spans="3:5" x14ac:dyDescent="0.3">
      <c r="C417" s="16"/>
      <c r="E417" s="2"/>
    </row>
    <row r="418" spans="3:5" x14ac:dyDescent="0.3">
      <c r="C418" s="16"/>
      <c r="E418" s="2"/>
    </row>
    <row r="419" spans="3:5" x14ac:dyDescent="0.3">
      <c r="C419" s="16"/>
      <c r="E419" s="2"/>
    </row>
    <row r="420" spans="3:5" x14ac:dyDescent="0.3">
      <c r="C420" s="16"/>
      <c r="E420" s="2"/>
    </row>
    <row r="421" spans="3:5" x14ac:dyDescent="0.3">
      <c r="C421" s="16"/>
      <c r="E421" s="2"/>
    </row>
    <row r="422" spans="3:5" x14ac:dyDescent="0.3">
      <c r="C422" s="16"/>
      <c r="E422" s="2"/>
    </row>
    <row r="423" spans="3:5" x14ac:dyDescent="0.3">
      <c r="C423" s="16"/>
      <c r="E423" s="2"/>
    </row>
    <row r="424" spans="3:5" x14ac:dyDescent="0.3">
      <c r="C424" s="16"/>
      <c r="E424" s="2"/>
    </row>
    <row r="425" spans="3:5" x14ac:dyDescent="0.3">
      <c r="C425" s="16"/>
      <c r="E425" s="2"/>
    </row>
    <row r="426" spans="3:5" x14ac:dyDescent="0.3">
      <c r="C426" s="16"/>
      <c r="E426" s="2"/>
    </row>
    <row r="427" spans="3:5" x14ac:dyDescent="0.3">
      <c r="C427" s="16"/>
      <c r="E427" s="2"/>
    </row>
    <row r="428" spans="3:5" x14ac:dyDescent="0.3">
      <c r="C428" s="16"/>
      <c r="E428" s="2"/>
    </row>
    <row r="429" spans="3:5" x14ac:dyDescent="0.3">
      <c r="C429" s="16"/>
      <c r="E429" s="2"/>
    </row>
    <row r="430" spans="3:5" x14ac:dyDescent="0.3">
      <c r="C430" s="16"/>
      <c r="E430" s="2"/>
    </row>
    <row r="431" spans="3:5" x14ac:dyDescent="0.3">
      <c r="C431" s="16"/>
      <c r="E431" s="2"/>
    </row>
    <row r="432" spans="3:5" x14ac:dyDescent="0.3">
      <c r="C432" s="16"/>
      <c r="E432" s="2"/>
    </row>
    <row r="433" spans="3:5" x14ac:dyDescent="0.3">
      <c r="C433" s="16"/>
      <c r="E433" s="2"/>
    </row>
    <row r="434" spans="3:5" x14ac:dyDescent="0.3">
      <c r="C434" s="16"/>
      <c r="E434" s="2"/>
    </row>
    <row r="435" spans="3:5" x14ac:dyDescent="0.3">
      <c r="C435" s="16"/>
      <c r="E435" s="2"/>
    </row>
    <row r="436" spans="3:5" x14ac:dyDescent="0.3">
      <c r="C436" s="16"/>
      <c r="E436" s="2"/>
    </row>
    <row r="437" spans="3:5" x14ac:dyDescent="0.3">
      <c r="C437" s="16"/>
      <c r="E437" s="2"/>
    </row>
    <row r="438" spans="3:5" x14ac:dyDescent="0.3">
      <c r="C438" s="16"/>
      <c r="E438" s="2"/>
    </row>
    <row r="439" spans="3:5" x14ac:dyDescent="0.3">
      <c r="C439" s="16"/>
      <c r="E439" s="2"/>
    </row>
    <row r="440" spans="3:5" x14ac:dyDescent="0.3">
      <c r="E440" s="2"/>
    </row>
    <row r="441" spans="3:5" x14ac:dyDescent="0.3">
      <c r="E441" s="2"/>
    </row>
    <row r="442" spans="3:5" x14ac:dyDescent="0.3">
      <c r="E442" s="2"/>
    </row>
    <row r="443" spans="3:5" x14ac:dyDescent="0.3">
      <c r="E443" s="2"/>
    </row>
    <row r="444" spans="3:5" x14ac:dyDescent="0.3">
      <c r="E444" s="2"/>
    </row>
    <row r="445" spans="3:5" x14ac:dyDescent="0.3">
      <c r="E445" s="2"/>
    </row>
    <row r="446" spans="3:5" x14ac:dyDescent="0.3">
      <c r="E446" s="2"/>
    </row>
    <row r="447" spans="3:5" x14ac:dyDescent="0.3">
      <c r="E447" s="2"/>
    </row>
    <row r="448" spans="3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  <row r="538" spans="5:5" x14ac:dyDescent="0.3">
      <c r="E538" s="2"/>
    </row>
    <row r="539" spans="5:5" x14ac:dyDescent="0.3">
      <c r="E539" s="2"/>
    </row>
    <row r="540" spans="5:5" x14ac:dyDescent="0.3">
      <c r="E540" s="2"/>
    </row>
    <row r="541" spans="5:5" x14ac:dyDescent="0.3">
      <c r="E541" s="2"/>
    </row>
    <row r="542" spans="5:5" x14ac:dyDescent="0.3">
      <c r="E542" s="2"/>
    </row>
    <row r="543" spans="5:5" x14ac:dyDescent="0.3">
      <c r="E543" s="2"/>
    </row>
    <row r="544" spans="5:5" x14ac:dyDescent="0.3">
      <c r="E544" s="2"/>
    </row>
    <row r="545" spans="5:5" x14ac:dyDescent="0.3">
      <c r="E545" s="2"/>
    </row>
    <row r="546" spans="5:5" x14ac:dyDescent="0.3">
      <c r="E546" s="2"/>
    </row>
    <row r="547" spans="5:5" x14ac:dyDescent="0.3">
      <c r="E547" s="2"/>
    </row>
    <row r="548" spans="5:5" x14ac:dyDescent="0.3">
      <c r="E548" s="2"/>
    </row>
    <row r="549" spans="5:5" x14ac:dyDescent="0.3">
      <c r="E549" s="2"/>
    </row>
    <row r="550" spans="5:5" x14ac:dyDescent="0.3">
      <c r="E550" s="2"/>
    </row>
    <row r="551" spans="5:5" x14ac:dyDescent="0.3">
      <c r="E551" s="2"/>
    </row>
    <row r="552" spans="5:5" x14ac:dyDescent="0.3">
      <c r="E552" s="2"/>
    </row>
    <row r="553" spans="5:5" x14ac:dyDescent="0.3">
      <c r="E553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08C76A3-52EE-4BB5-9F84-BEB3396E48AF}">
          <x14:formula1>
            <xm:f>Enum!$B$3:$B$6</xm:f>
          </x14:formula1>
          <xm:sqref>C4</xm:sqref>
        </x14:dataValidation>
        <x14:dataValidation type="list" allowBlank="1" showInputMessage="1" showErrorMessage="1" xr:uid="{EC8C6BE2-4172-41D4-AA76-D1EE59EDC566}">
          <x14:formula1>
            <xm:f>Enum!$D$3:$D$7</xm:f>
          </x14:formula1>
          <xm:sqref>C5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63B8-4C87-4474-B5B0-52EEB5BB3C33}">
  <dimension ref="B2:S107"/>
  <sheetViews>
    <sheetView zoomScale="110" zoomScaleNormal="110" workbookViewId="0">
      <selection activeCell="G7" sqref="G7"/>
    </sheetView>
  </sheetViews>
  <sheetFormatPr defaultRowHeight="18.75" x14ac:dyDescent="0.3"/>
  <cols>
    <col min="1" max="1" width="3.59765625" customWidth="1"/>
    <col min="2" max="2" width="9.5" bestFit="1" customWidth="1"/>
    <col min="3" max="3" width="9.296875" bestFit="1" customWidth="1"/>
    <col min="5" max="6" width="10" bestFit="1" customWidth="1"/>
    <col min="7" max="7" width="11.69921875" bestFit="1" customWidth="1"/>
    <col min="8" max="8" width="9.296875" bestFit="1" customWidth="1"/>
    <col min="9" max="9" width="11.69921875" bestFit="1" customWidth="1"/>
    <col min="10" max="10" width="9.296875" bestFit="1" customWidth="1"/>
  </cols>
  <sheetData>
    <row r="2" spans="2:19" ht="21" x14ac:dyDescent="0.3">
      <c r="B2" s="4" t="s">
        <v>5</v>
      </c>
      <c r="F2" cm="1">
        <f t="array" ref="F2:K3">_xll.TMX.INSTRUMENT(F7)</f>
        <v>0.16701232742629896</v>
      </c>
      <c r="G2">
        <v>0.33402465485259791</v>
      </c>
      <c r="H2">
        <v>0.50103698227889693</v>
      </c>
      <c r="I2">
        <v>0.67078721671218433</v>
      </c>
      <c r="J2">
        <v>0.83506163713149484</v>
      </c>
      <c r="K2">
        <v>1.0020739645577939</v>
      </c>
    </row>
    <row r="3" spans="2:19" x14ac:dyDescent="0.3">
      <c r="F3">
        <v>8.3333333333333332E-3</v>
      </c>
      <c r="G3">
        <v>8.3333333333333332E-3</v>
      </c>
      <c r="H3">
        <v>8.3333333333333332E-3</v>
      </c>
      <c r="I3">
        <v>8.3333333333333315E-3</v>
      </c>
      <c r="J3">
        <v>8.3333333333333332E-3</v>
      </c>
      <c r="K3">
        <v>1.0083333333333333</v>
      </c>
    </row>
    <row r="4" spans="2:19" x14ac:dyDescent="0.3">
      <c r="B4" s="3" t="s">
        <v>4</v>
      </c>
      <c r="C4" s="2">
        <v>45103</v>
      </c>
      <c r="D4" s="2"/>
      <c r="F4" s="3"/>
      <c r="H4" s="2"/>
    </row>
    <row r="5" spans="2:19" x14ac:dyDescent="0.3">
      <c r="H5">
        <v>0.1</v>
      </c>
    </row>
    <row r="6" spans="2:19" x14ac:dyDescent="0.3">
      <c r="B6" s="1" t="s">
        <v>0</v>
      </c>
      <c r="C6" s="1" t="s">
        <v>1</v>
      </c>
      <c r="D6" s="1" t="s">
        <v>6</v>
      </c>
      <c r="E6" s="1" t="s">
        <v>2</v>
      </c>
      <c r="F6" s="1" t="s">
        <v>3</v>
      </c>
      <c r="G6" s="19" t="s">
        <v>35</v>
      </c>
      <c r="H6" s="1" t="s">
        <v>16</v>
      </c>
      <c r="I6" s="1" t="s">
        <v>34</v>
      </c>
      <c r="Q6" s="1" t="s">
        <v>59</v>
      </c>
      <c r="R6" t="s">
        <v>60</v>
      </c>
      <c r="S6" t="s">
        <v>61</v>
      </c>
    </row>
    <row r="7" spans="2:19" x14ac:dyDescent="0.3">
      <c r="B7">
        <v>1</v>
      </c>
      <c r="C7" s="18">
        <v>0.05</v>
      </c>
      <c r="D7" s="6">
        <v>1</v>
      </c>
      <c r="E7" s="5" cm="1">
        <f t="array" ref="E7">_xll.\TMX.BOND.SIMPLE(B7, C7)</f>
        <v>2206068901120</v>
      </c>
      <c r="F7" s="5" cm="1">
        <f t="array" ref="F7">_xll.\TMX.BOND.INSTRUMENT(E7, dated)</f>
        <v>2206070491040</v>
      </c>
      <c r="G7" s="5" cm="1">
        <f t="array" aca="1" ref="G7" ca="1">_xll.\TMX.BOOTSTRAP.CURVE(instrument, price)</f>
        <v>2207344035216</v>
      </c>
      <c r="H7" cm="1">
        <f t="array" ref="H7:H107">_xlfn.SEQUENCE(1+10/H5,1,0,H5)</f>
        <v>0</v>
      </c>
      <c r="I7" s="21" cm="1">
        <f t="array" aca="1" ref="I7:I107" ca="1">_xlfn.MAP(_xlfn.ANCHORARRAY(H7),_xlfn.LAMBDA(_xlpm.t,_xll.TMX.PWFLAT.CURVE.FORWARD(curve,_xlpm.t)))</f>
        <v>4.9688642476346197E-2</v>
      </c>
      <c r="J7" s="2"/>
      <c r="P7" cm="1">
        <f t="array" ref="P7:P17">_xlfn.SEQUENCE(11,1,0,1)</f>
        <v>0</v>
      </c>
      <c r="Q7" cm="1">
        <f t="array" aca="1" ref="Q7" ca="1">_xll.TMX.VALUE.PRESENT($F$16, curve, $P7)</f>
        <v>1.0000000020174171</v>
      </c>
      <c r="R7" s="22" cm="1">
        <f t="array" aca="1" ref="R7" ca="1">_xll.TMX.VALUE.DURATION($F$16, curve, $P7)</f>
        <v>-7.915043811885198</v>
      </c>
      <c r="S7" s="22" cm="1">
        <f t="array" aca="1" ref="S7" ca="1">_xll.TMX.VALUE.CONVEXITY($F$16, curve, $P7)</f>
        <v>72.629839853388773</v>
      </c>
    </row>
    <row r="8" spans="2:19" x14ac:dyDescent="0.3">
      <c r="B8">
        <v>2</v>
      </c>
      <c r="C8" s="18">
        <f ca="1">0.05 + 0.01*RAND()</f>
        <v>5.5744507400907098E-2</v>
      </c>
      <c r="D8" s="6">
        <v>1</v>
      </c>
      <c r="E8" s="5" cm="1">
        <f t="array" aca="1" ref="E8" ca="1">_xll.\TMX.BOND.SIMPLE(B8, C8)</f>
        <v>2207341077264</v>
      </c>
      <c r="F8" s="5" cm="1">
        <f t="array" aca="1" ref="F8" ca="1">_xll.\TMX.BOND.INSTRUMENT(E8, dated)</f>
        <v>2207344037152</v>
      </c>
      <c r="H8">
        <v>0.1</v>
      </c>
      <c r="I8" s="20">
        <f ca="1"/>
        <v>4.9688642476346197E-2</v>
      </c>
      <c r="P8">
        <v>1</v>
      </c>
      <c r="Q8" cm="1">
        <f t="array" aca="1" ref="Q8" ca="1">_xll.TMX.VALUE.PRESENT($F$16, curve, $P8)</f>
        <v>1.0082294270301151</v>
      </c>
      <c r="R8" s="22" cm="1">
        <f t="array" aca="1" ref="R8" ca="1">_xll.TMX.VALUE.DURATION($F$16, curve, $P8)</f>
        <v>-7.2887309079783282</v>
      </c>
      <c r="S8" s="22" cm="1">
        <f t="array" aca="1" ref="S8" ca="1">_xll.TMX.VALUE.CONVEXITY($F$16, curve, $P8)</f>
        <v>60.73117237253939</v>
      </c>
    </row>
    <row r="9" spans="2:19" x14ac:dyDescent="0.3">
      <c r="B9">
        <v>3</v>
      </c>
      <c r="C9" s="18">
        <v>0.05</v>
      </c>
      <c r="D9" s="6">
        <v>1</v>
      </c>
      <c r="E9" s="5" cm="1">
        <f t="array" ref="E9">_xll.\TMX.BOND.SIMPLE(B9, C9)</f>
        <v>2206068900448</v>
      </c>
      <c r="F9" s="5" cm="1">
        <f t="array" ref="F9">_xll.\TMX.BOND.INSTRUMENT(E9, dated)</f>
        <v>2206070491744</v>
      </c>
      <c r="H9">
        <v>0.2</v>
      </c>
      <c r="I9" s="20">
        <f ca="1"/>
        <v>4.9688642476346197E-2</v>
      </c>
      <c r="P9">
        <v>2</v>
      </c>
      <c r="Q9" cm="1">
        <f t="array" aca="1" ref="Q9" ca="1">_xll.TMX.VALUE.PRESENT($F$16, curve, $P9)</f>
        <v>1.0203763340144432</v>
      </c>
      <c r="R9" s="22" cm="1">
        <f t="array" aca="1" ref="R9" ca="1">_xll.TMX.VALUE.DURATION($F$16, curve, $P9)</f>
        <v>-6.7093441633866</v>
      </c>
      <c r="S9" s="22" cm="1">
        <f t="array" aca="1" ref="S9" ca="1">_xll.TMX.VALUE.CONVEXITY($F$16, curve, $P9)</f>
        <v>50.132443026909655</v>
      </c>
    </row>
    <row r="10" spans="2:19" x14ac:dyDescent="0.3">
      <c r="B10">
        <v>4</v>
      </c>
      <c r="C10" s="18">
        <v>0.05</v>
      </c>
      <c r="D10" s="6">
        <v>1</v>
      </c>
      <c r="E10" s="5" cm="1">
        <f t="array" ref="E10">_xll.\TMX.BOND.SIMPLE(B10, C10)</f>
        <v>2206068899776</v>
      </c>
      <c r="F10" s="5" cm="1">
        <f t="array" ref="F10">_xll.\TMX.BOND.INSTRUMENT(E10, dated)</f>
        <v>2206070491392</v>
      </c>
      <c r="H10">
        <v>0.30000000000000004</v>
      </c>
      <c r="I10" s="20">
        <f ca="1"/>
        <v>4.9688642476346197E-2</v>
      </c>
      <c r="P10">
        <v>3</v>
      </c>
      <c r="Q10" cm="1">
        <f t="array" aca="1" ref="Q10" ca="1">_xll.TMX.VALUE.PRESENT($F$16, curve, $P10)</f>
        <v>1.0083051215416343</v>
      </c>
      <c r="R10" s="22" cm="1">
        <f t="array" aca="1" ref="R10" ca="1">_xll.TMX.VALUE.DURATION($F$16, curve, $P10)</f>
        <v>-5.9364432635984166</v>
      </c>
      <c r="S10" s="22" cm="1">
        <f t="array" aca="1" ref="S10" ca="1">_xll.TMX.VALUE.CONVEXITY($F$16, curve, $P10)</f>
        <v>39.156021731022896</v>
      </c>
    </row>
    <row r="11" spans="2:19" x14ac:dyDescent="0.3">
      <c r="B11">
        <v>5</v>
      </c>
      <c r="C11" s="18">
        <v>0.05</v>
      </c>
      <c r="D11" s="6">
        <v>1</v>
      </c>
      <c r="E11" s="5" cm="1">
        <f t="array" ref="E11">_xll.\TMX.BOND.SIMPLE(B11, C11)</f>
        <v>2206068901216</v>
      </c>
      <c r="F11" s="5" cm="1">
        <f t="array" ref="F11">_xll.\TMX.BOND.INSTRUMENT(E11, dated)</f>
        <v>2206070491568</v>
      </c>
      <c r="H11">
        <v>0.4</v>
      </c>
      <c r="I11" s="20">
        <f ca="1"/>
        <v>4.9688642476346197E-2</v>
      </c>
      <c r="P11">
        <v>4</v>
      </c>
      <c r="Q11" cm="1">
        <f t="array" aca="1" ref="Q11" ca="1">_xll.TMX.VALUE.PRESENT($F$16, curve, $P11)</f>
        <v>1.0083291927108993</v>
      </c>
      <c r="R11" s="22" cm="1">
        <f t="array" aca="1" ref="R11" ca="1">_xll.TMX.VALUE.DURATION($F$16, curve, $P11)</f>
        <v>-5.2099977377642297</v>
      </c>
      <c r="S11" s="22" cm="1">
        <f t="array" aca="1" ref="S11" ca="1">_xll.TMX.VALUE.CONVEXITY($F$16, curve, $P11)</f>
        <v>29.714595534364467</v>
      </c>
    </row>
    <row r="12" spans="2:19" x14ac:dyDescent="0.3">
      <c r="B12">
        <v>6</v>
      </c>
      <c r="C12" s="18">
        <v>0.05</v>
      </c>
      <c r="D12" s="6">
        <v>1</v>
      </c>
      <c r="E12" s="5" cm="1">
        <f t="array" ref="E12">_xll.\TMX.BOND.SIMPLE(B12, C12)</f>
        <v>2206068899392</v>
      </c>
      <c r="F12" s="5" cm="1">
        <f t="array" ref="F12">_xll.\TMX.BOND.INSTRUMENT(E12, dated)</f>
        <v>2206070492272</v>
      </c>
      <c r="H12">
        <v>0.5</v>
      </c>
      <c r="I12" s="20">
        <f ca="1"/>
        <v>4.9688642476346197E-2</v>
      </c>
      <c r="P12">
        <v>5</v>
      </c>
      <c r="Q12" cm="1">
        <f t="array" aca="1" ref="Q12" ca="1">_xll.TMX.VALUE.PRESENT($F$16, curve, $P12)</f>
        <v>1.0082253186337664</v>
      </c>
      <c r="R12" s="22" cm="1">
        <f t="array" aca="1" ref="R12" ca="1">_xll.TMX.VALUE.DURATION($F$16, curve, $P12)</f>
        <v>-4.4458795897907155</v>
      </c>
      <c r="S12" s="22" cm="1">
        <f t="array" aca="1" ref="S12" ca="1">_xll.TMX.VALUE.CONVEXITY($F$16, curve, $P12)</f>
        <v>21.315365662629855</v>
      </c>
    </row>
    <row r="13" spans="2:19" x14ac:dyDescent="0.3">
      <c r="B13">
        <v>7</v>
      </c>
      <c r="C13" s="18">
        <v>0.05</v>
      </c>
      <c r="D13" s="6">
        <v>1</v>
      </c>
      <c r="E13" s="5" cm="1">
        <f t="array" ref="E13">_xll.\TMX.BOND.SIMPLE(B13, C13)</f>
        <v>2206068901504</v>
      </c>
      <c r="F13" s="5" cm="1">
        <f t="array" ref="F13">_xll.\TMX.BOND.INSTRUMENT(E13, dated)</f>
        <v>2206070488752</v>
      </c>
      <c r="H13">
        <v>0.6</v>
      </c>
      <c r="I13" s="20">
        <f ca="1"/>
        <v>4.9688642476346197E-2</v>
      </c>
      <c r="P13">
        <v>6</v>
      </c>
      <c r="Q13" cm="1">
        <f t="array" aca="1" ref="Q13" ca="1">_xll.TMX.VALUE.PRESENT($F$16, curve, $P13)</f>
        <v>1.0082583720351745</v>
      </c>
      <c r="R13" s="22" cm="1">
        <f t="array" aca="1" ref="R13" ca="1">_xll.TMX.VALUE.DURATION($F$16, curve, $P13)</f>
        <v>-3.6433442513518162</v>
      </c>
      <c r="S13" s="22" cm="1">
        <f t="array" aca="1" ref="S13" ca="1">_xll.TMX.VALUE.CONVEXITY($F$16, curve, $P13)</f>
        <v>14.096238255400751</v>
      </c>
    </row>
    <row r="14" spans="2:19" x14ac:dyDescent="0.3">
      <c r="B14">
        <v>8</v>
      </c>
      <c r="C14" s="18">
        <v>0.05</v>
      </c>
      <c r="D14" s="6">
        <v>1</v>
      </c>
      <c r="E14" s="5" cm="1">
        <f t="array" ref="E14">_xll.\TMX.BOND.SIMPLE(B14, C14)</f>
        <v>2206068902176</v>
      </c>
      <c r="F14" s="5" cm="1">
        <f t="array" ref="F14">_xll.\TMX.BOND.INSTRUMENT(E14, dated)</f>
        <v>2206070490160</v>
      </c>
      <c r="H14">
        <v>0.7</v>
      </c>
      <c r="I14" s="20">
        <f ca="1"/>
        <v>4.9688642476346197E-2</v>
      </c>
      <c r="P14">
        <v>7</v>
      </c>
      <c r="Q14" cm="1">
        <f t="array" aca="1" ref="Q14" ca="1">_xll.TMX.VALUE.PRESENT($F$16, curve, $P14)</f>
        <v>1.0082917183623681</v>
      </c>
      <c r="R14" s="22" cm="1">
        <f t="array" aca="1" ref="R14" ca="1">_xll.TMX.VALUE.DURATION($F$16, curve, $P14)</f>
        <v>-2.7998127844877101</v>
      </c>
      <c r="S14" s="22" cm="1">
        <f t="array" aca="1" ref="S14" ca="1">_xll.TMX.VALUE.CONVEXITY($F$16, curve, $P14)</f>
        <v>8.1953849823578526</v>
      </c>
    </row>
    <row r="15" spans="2:19" x14ac:dyDescent="0.3">
      <c r="B15">
        <v>9</v>
      </c>
      <c r="C15" s="18">
        <v>0.05</v>
      </c>
      <c r="D15" s="6">
        <v>1</v>
      </c>
      <c r="E15" s="5" cm="1">
        <f t="array" ref="E15">_xll.\TMX.BOND.SIMPLE(B15, C15)</f>
        <v>2206068900160</v>
      </c>
      <c r="F15" s="5" cm="1">
        <f t="array" ref="F15">_xll.\TMX.BOND.INSTRUMENT(E15, dated)</f>
        <v>2206070490864</v>
      </c>
      <c r="H15">
        <v>0.79999999999999993</v>
      </c>
      <c r="I15" s="20">
        <f ca="1"/>
        <v>4.9688642476346197E-2</v>
      </c>
      <c r="P15">
        <v>8</v>
      </c>
      <c r="Q15" cm="1">
        <f t="array" aca="1" ref="Q15" ca="1">_xll.TMX.VALUE.PRESENT($F$16, curve, $P15)</f>
        <v>1.0083250654321485</v>
      </c>
      <c r="R15" s="22" cm="1">
        <f t="array" aca="1" ref="R15" ca="1">_xll.TMX.VALUE.DURATION($F$16, curve, $P15)</f>
        <v>-1.9131895449126148</v>
      </c>
      <c r="S15" s="22" cm="1">
        <f t="array" aca="1" ref="S15" ca="1">_xll.TMX.VALUE.CONVEXITY($F$16, curve, $P15)</f>
        <v>3.7663270282232926</v>
      </c>
    </row>
    <row r="16" spans="2:19" x14ac:dyDescent="0.3">
      <c r="B16">
        <v>10</v>
      </c>
      <c r="C16" s="18">
        <v>0.05</v>
      </c>
      <c r="D16" s="6">
        <v>1</v>
      </c>
      <c r="E16" s="5" cm="1">
        <f t="array" ref="E16">_xll.\TMX.BOND.SIMPLE(B16, C16)</f>
        <v>2206068882784</v>
      </c>
      <c r="F16" s="5" cm="1">
        <f t="array" ref="F16">_xll.\TMX.BOND.INSTRUMENT(E16, dated)</f>
        <v>2206070489984</v>
      </c>
      <c r="H16">
        <v>0.89999999999999991</v>
      </c>
      <c r="I16" s="20">
        <f ca="1"/>
        <v>4.9688642476346197E-2</v>
      </c>
      <c r="P16">
        <v>9</v>
      </c>
      <c r="Q16" cm="1">
        <f t="array" aca="1" ref="Q16" ca="1">_xll.TMX.VALUE.PRESENT($F$16, curve, $P16)</f>
        <v>1.0082212043507919</v>
      </c>
      <c r="R16" s="22" cm="1">
        <f t="array" aca="1" ref="R16" ca="1">_xll.TMX.VALUE.DURATION($F$16, curve, $P16)</f>
        <v>-0.98111925467500805</v>
      </c>
      <c r="S16" s="22" cm="1">
        <f t="array" aca="1" ref="S16" ca="1">_xll.TMX.VALUE.CONVEXITY($F$16, curve, $P16)</f>
        <v>0.97471353860328536</v>
      </c>
    </row>
    <row r="17" spans="5:19" x14ac:dyDescent="0.3">
      <c r="H17">
        <v>0.99999999999999989</v>
      </c>
      <c r="I17" s="20">
        <f ca="1"/>
        <v>4.9688642476346197E-2</v>
      </c>
      <c r="P17">
        <v>10</v>
      </c>
      <c r="Q17" cm="1">
        <f t="array" aca="1" ref="Q17" ca="1">_xll.TMX.VALUE.PRESENT($F$16, curve, $P17)</f>
        <v>1.0082542465190039</v>
      </c>
      <c r="R17" s="22" cm="1">
        <f t="array" aca="1" ref="R17" ca="1">_xll.TMX.VALUE.DURATION($F$16, curve, $P17)</f>
        <v>-1.5872911606624976E-3</v>
      </c>
      <c r="S17" s="22" cm="1">
        <f t="array" aca="1" ref="S17" ca="1">_xll.TMX.VALUE.CONVEXITY($F$16, curve, $P17)</f>
        <v>2.4988669647718765E-6</v>
      </c>
    </row>
    <row r="18" spans="5:19" x14ac:dyDescent="0.3">
      <c r="E18" s="5"/>
      <c r="H18">
        <v>1.0999999999999999</v>
      </c>
      <c r="I18" s="20">
        <f ca="1"/>
        <v>6.1543848739466347E-2</v>
      </c>
    </row>
    <row r="19" spans="5:19" x14ac:dyDescent="0.3">
      <c r="H19">
        <v>1.2</v>
      </c>
      <c r="I19" s="20">
        <f ca="1"/>
        <v>6.1543848739466347E-2</v>
      </c>
    </row>
    <row r="20" spans="5:19" x14ac:dyDescent="0.3">
      <c r="H20">
        <v>1.3</v>
      </c>
      <c r="I20" s="20">
        <f ca="1"/>
        <v>6.1543848739466347E-2</v>
      </c>
    </row>
    <row r="21" spans="5:19" x14ac:dyDescent="0.3">
      <c r="H21">
        <v>1.4000000000000001</v>
      </c>
      <c r="I21" s="20">
        <f ca="1"/>
        <v>6.1543848739466347E-2</v>
      </c>
    </row>
    <row r="22" spans="5:19" x14ac:dyDescent="0.3">
      <c r="H22">
        <v>1.5000000000000002</v>
      </c>
      <c r="I22" s="20">
        <f ca="1"/>
        <v>6.1543848739466347E-2</v>
      </c>
    </row>
    <row r="23" spans="5:19" x14ac:dyDescent="0.3">
      <c r="H23">
        <v>1.6000000000000003</v>
      </c>
      <c r="I23" s="20">
        <f ca="1"/>
        <v>6.1543848739466347E-2</v>
      </c>
    </row>
    <row r="24" spans="5:19" x14ac:dyDescent="0.3">
      <c r="H24">
        <v>1.7000000000000004</v>
      </c>
      <c r="I24" s="20">
        <f ca="1"/>
        <v>6.1543848739466347E-2</v>
      </c>
    </row>
    <row r="25" spans="5:19" x14ac:dyDescent="0.3">
      <c r="H25">
        <v>1.8000000000000005</v>
      </c>
      <c r="I25" s="20">
        <f ca="1"/>
        <v>6.1543848739466347E-2</v>
      </c>
    </row>
    <row r="26" spans="5:19" x14ac:dyDescent="0.3">
      <c r="H26">
        <v>1.9000000000000006</v>
      </c>
      <c r="I26" s="20">
        <f ca="1"/>
        <v>6.1543848739466347E-2</v>
      </c>
    </row>
    <row r="27" spans="5:19" x14ac:dyDescent="0.3">
      <c r="H27">
        <v>2.0000000000000004</v>
      </c>
      <c r="I27" s="20">
        <f ca="1"/>
        <v>6.1543848739466347E-2</v>
      </c>
    </row>
    <row r="28" spans="5:19" x14ac:dyDescent="0.3">
      <c r="H28">
        <v>2.1000000000000005</v>
      </c>
      <c r="I28" s="20">
        <f ca="1"/>
        <v>3.7506434100536605E-2</v>
      </c>
    </row>
    <row r="29" spans="5:19" x14ac:dyDescent="0.3">
      <c r="H29">
        <v>2.2000000000000006</v>
      </c>
      <c r="I29" s="20">
        <f ca="1"/>
        <v>3.7506434100536605E-2</v>
      </c>
    </row>
    <row r="30" spans="5:19" x14ac:dyDescent="0.3">
      <c r="H30">
        <v>2.3000000000000007</v>
      </c>
      <c r="I30" s="20">
        <f ca="1"/>
        <v>3.7506434100536605E-2</v>
      </c>
    </row>
    <row r="31" spans="5:19" x14ac:dyDescent="0.3">
      <c r="H31">
        <v>2.4000000000000008</v>
      </c>
      <c r="I31" s="20">
        <f ca="1"/>
        <v>3.7506434100536605E-2</v>
      </c>
    </row>
    <row r="32" spans="5:19" x14ac:dyDescent="0.3">
      <c r="H32">
        <v>2.5000000000000009</v>
      </c>
      <c r="I32" s="20">
        <f ca="1"/>
        <v>3.7506434100536605E-2</v>
      </c>
    </row>
    <row r="33" spans="8:9" x14ac:dyDescent="0.3">
      <c r="H33">
        <v>2.600000000000001</v>
      </c>
      <c r="I33" s="20">
        <f ca="1"/>
        <v>3.7506434100536605E-2</v>
      </c>
    </row>
    <row r="34" spans="8:9" x14ac:dyDescent="0.3">
      <c r="H34">
        <v>2.7000000000000011</v>
      </c>
      <c r="I34" s="20">
        <f ca="1"/>
        <v>3.7506434100536605E-2</v>
      </c>
    </row>
    <row r="35" spans="8:9" x14ac:dyDescent="0.3">
      <c r="H35">
        <v>2.8000000000000012</v>
      </c>
      <c r="I35" s="20">
        <f ca="1"/>
        <v>3.7506434100536605E-2</v>
      </c>
    </row>
    <row r="36" spans="8:9" x14ac:dyDescent="0.3">
      <c r="H36">
        <v>2.9000000000000012</v>
      </c>
      <c r="I36" s="20">
        <f ca="1"/>
        <v>3.7506434100536605E-2</v>
      </c>
    </row>
    <row r="37" spans="8:9" x14ac:dyDescent="0.3">
      <c r="H37">
        <v>3.0000000000000013</v>
      </c>
      <c r="I37" s="20">
        <f ca="1"/>
        <v>3.7506434100536605E-2</v>
      </c>
    </row>
    <row r="38" spans="8:9" x14ac:dyDescent="0.3">
      <c r="H38">
        <v>3.1000000000000014</v>
      </c>
      <c r="I38" s="20">
        <f ca="1"/>
        <v>4.9823055453199108E-2</v>
      </c>
    </row>
    <row r="39" spans="8:9" x14ac:dyDescent="0.3">
      <c r="H39">
        <v>3.2000000000000015</v>
      </c>
      <c r="I39" s="20">
        <f ca="1"/>
        <v>4.9823055453199108E-2</v>
      </c>
    </row>
    <row r="40" spans="8:9" x14ac:dyDescent="0.3">
      <c r="H40">
        <v>3.3000000000000016</v>
      </c>
      <c r="I40" s="20">
        <f ca="1"/>
        <v>4.9823055453199108E-2</v>
      </c>
    </row>
    <row r="41" spans="8:9" x14ac:dyDescent="0.3">
      <c r="H41">
        <v>3.4000000000000017</v>
      </c>
      <c r="I41" s="20">
        <f ca="1"/>
        <v>4.9823055453199108E-2</v>
      </c>
    </row>
    <row r="42" spans="8:9" x14ac:dyDescent="0.3">
      <c r="H42">
        <v>3.5000000000000018</v>
      </c>
      <c r="I42" s="20">
        <f ca="1"/>
        <v>4.9823055453199108E-2</v>
      </c>
    </row>
    <row r="43" spans="8:9" x14ac:dyDescent="0.3">
      <c r="H43">
        <v>3.6000000000000019</v>
      </c>
      <c r="I43" s="20">
        <f ca="1"/>
        <v>4.9823055453199108E-2</v>
      </c>
    </row>
    <row r="44" spans="8:9" x14ac:dyDescent="0.3">
      <c r="H44">
        <v>3.700000000000002</v>
      </c>
      <c r="I44" s="20">
        <f ca="1"/>
        <v>4.9823055453199108E-2</v>
      </c>
    </row>
    <row r="45" spans="8:9" x14ac:dyDescent="0.3">
      <c r="H45">
        <v>3.800000000000002</v>
      </c>
      <c r="I45" s="20">
        <f ca="1"/>
        <v>4.9823055453199108E-2</v>
      </c>
    </row>
    <row r="46" spans="8:9" x14ac:dyDescent="0.3">
      <c r="H46">
        <v>3.9000000000000021</v>
      </c>
      <c r="I46" s="20">
        <f ca="1"/>
        <v>4.9823055453199108E-2</v>
      </c>
    </row>
    <row r="47" spans="8:9" x14ac:dyDescent="0.3">
      <c r="H47">
        <v>4.0000000000000018</v>
      </c>
      <c r="I47" s="20">
        <f ca="1"/>
        <v>4.9823055453199108E-2</v>
      </c>
    </row>
    <row r="48" spans="8:9" x14ac:dyDescent="0.3">
      <c r="H48">
        <v>4.1000000000000014</v>
      </c>
      <c r="I48" s="20">
        <f ca="1"/>
        <v>4.9688665317126131E-2</v>
      </c>
    </row>
    <row r="49" spans="8:9" x14ac:dyDescent="0.3">
      <c r="H49">
        <v>4.2000000000000011</v>
      </c>
      <c r="I49" s="20">
        <f ca="1"/>
        <v>4.9688665317126131E-2</v>
      </c>
    </row>
    <row r="50" spans="8:9" x14ac:dyDescent="0.3">
      <c r="H50">
        <v>4.3000000000000007</v>
      </c>
      <c r="I50" s="20">
        <f ca="1"/>
        <v>4.9688665317126131E-2</v>
      </c>
    </row>
    <row r="51" spans="8:9" x14ac:dyDescent="0.3">
      <c r="H51">
        <v>4.4000000000000004</v>
      </c>
      <c r="I51" s="20">
        <f ca="1"/>
        <v>4.9688665317126131E-2</v>
      </c>
    </row>
    <row r="52" spans="8:9" x14ac:dyDescent="0.3">
      <c r="H52">
        <v>4.5</v>
      </c>
      <c r="I52" s="20">
        <f ca="1"/>
        <v>4.9688665317126131E-2</v>
      </c>
    </row>
    <row r="53" spans="8:9" x14ac:dyDescent="0.3">
      <c r="H53">
        <v>4.5999999999999996</v>
      </c>
      <c r="I53" s="20">
        <f ca="1"/>
        <v>4.9688665317126131E-2</v>
      </c>
    </row>
    <row r="54" spans="8:9" x14ac:dyDescent="0.3">
      <c r="H54">
        <v>4.6999999999999993</v>
      </c>
      <c r="I54" s="20">
        <f ca="1"/>
        <v>4.9688665317126131E-2</v>
      </c>
    </row>
    <row r="55" spans="8:9" x14ac:dyDescent="0.3">
      <c r="H55">
        <v>4.7999999999999989</v>
      </c>
      <c r="I55" s="20">
        <f ca="1"/>
        <v>4.9688665317126131E-2</v>
      </c>
    </row>
    <row r="56" spans="8:9" x14ac:dyDescent="0.3">
      <c r="H56">
        <v>4.8999999999999986</v>
      </c>
      <c r="I56" s="20">
        <f ca="1"/>
        <v>4.9688665317126131E-2</v>
      </c>
    </row>
    <row r="57" spans="8:9" x14ac:dyDescent="0.3">
      <c r="H57">
        <v>4.9999999999999982</v>
      </c>
      <c r="I57" s="20">
        <f ca="1"/>
        <v>4.9688665317126131E-2</v>
      </c>
    </row>
    <row r="58" spans="8:9" x14ac:dyDescent="0.3">
      <c r="H58">
        <v>5.0999999999999979</v>
      </c>
      <c r="I58" s="20">
        <f ca="1"/>
        <v>4.9823066298442485E-2</v>
      </c>
    </row>
    <row r="59" spans="8:9" x14ac:dyDescent="0.3">
      <c r="H59">
        <v>5.1999999999999975</v>
      </c>
      <c r="I59" s="20">
        <f ca="1"/>
        <v>4.9823066298442485E-2</v>
      </c>
    </row>
    <row r="60" spans="8:9" x14ac:dyDescent="0.3">
      <c r="H60">
        <v>5.2999999999999972</v>
      </c>
      <c r="I60" s="20">
        <f ca="1"/>
        <v>4.9823066298442485E-2</v>
      </c>
    </row>
    <row r="61" spans="8:9" x14ac:dyDescent="0.3">
      <c r="H61">
        <v>5.3999999999999968</v>
      </c>
      <c r="I61" s="20">
        <f ca="1"/>
        <v>4.9823066298442485E-2</v>
      </c>
    </row>
    <row r="62" spans="8:9" x14ac:dyDescent="0.3">
      <c r="H62">
        <v>5.4999999999999964</v>
      </c>
      <c r="I62" s="20">
        <f ca="1"/>
        <v>4.9823066298442485E-2</v>
      </c>
    </row>
    <row r="63" spans="8:9" x14ac:dyDescent="0.3">
      <c r="H63">
        <v>5.5999999999999961</v>
      </c>
      <c r="I63" s="20">
        <f ca="1"/>
        <v>4.9823066298442485E-2</v>
      </c>
    </row>
    <row r="64" spans="8:9" x14ac:dyDescent="0.3">
      <c r="H64">
        <v>5.6999999999999957</v>
      </c>
      <c r="I64" s="20">
        <f ca="1"/>
        <v>4.9823066298442485E-2</v>
      </c>
    </row>
    <row r="65" spans="8:9" x14ac:dyDescent="0.3">
      <c r="H65">
        <v>5.7999999999999954</v>
      </c>
      <c r="I65" s="20">
        <f ca="1"/>
        <v>4.9823066298442485E-2</v>
      </c>
    </row>
    <row r="66" spans="8:9" x14ac:dyDescent="0.3">
      <c r="H66">
        <v>5.899999999999995</v>
      </c>
      <c r="I66" s="20">
        <f ca="1"/>
        <v>4.9823066298442485E-2</v>
      </c>
    </row>
    <row r="67" spans="8:9" x14ac:dyDescent="0.3">
      <c r="H67">
        <v>5.9999999999999947</v>
      </c>
      <c r="I67" s="20">
        <f ca="1"/>
        <v>4.9823066298442485E-2</v>
      </c>
    </row>
    <row r="68" spans="8:9" x14ac:dyDescent="0.3">
      <c r="H68">
        <v>6.0999999999999943</v>
      </c>
      <c r="I68" s="20">
        <f ca="1"/>
        <v>4.9823066298442485E-2</v>
      </c>
    </row>
    <row r="69" spans="8:9" x14ac:dyDescent="0.3">
      <c r="H69">
        <v>6.199999999999994</v>
      </c>
      <c r="I69" s="20">
        <f ca="1"/>
        <v>4.9823066298442485E-2</v>
      </c>
    </row>
    <row r="70" spans="8:9" x14ac:dyDescent="0.3">
      <c r="H70">
        <v>6.2999999999999936</v>
      </c>
      <c r="I70" s="20">
        <f ca="1"/>
        <v>4.9823066298442485E-2</v>
      </c>
    </row>
    <row r="71" spans="8:9" x14ac:dyDescent="0.3">
      <c r="H71">
        <v>6.3999999999999932</v>
      </c>
      <c r="I71" s="20">
        <f ca="1"/>
        <v>4.9823066298442485E-2</v>
      </c>
    </row>
    <row r="72" spans="8:9" x14ac:dyDescent="0.3">
      <c r="H72">
        <v>6.4999999999999929</v>
      </c>
      <c r="I72" s="20">
        <f ca="1"/>
        <v>4.9823066298442485E-2</v>
      </c>
    </row>
    <row r="73" spans="8:9" x14ac:dyDescent="0.3">
      <c r="H73">
        <v>6.5999999999999925</v>
      </c>
      <c r="I73" s="20">
        <f ca="1"/>
        <v>4.9823066298442485E-2</v>
      </c>
    </row>
    <row r="74" spans="8:9" x14ac:dyDescent="0.3">
      <c r="H74">
        <v>6.6999999999999922</v>
      </c>
      <c r="I74" s="20">
        <f ca="1"/>
        <v>4.9823066298442485E-2</v>
      </c>
    </row>
    <row r="75" spans="8:9" x14ac:dyDescent="0.3">
      <c r="H75">
        <v>6.7999999999999918</v>
      </c>
      <c r="I75" s="20">
        <f ca="1"/>
        <v>4.9823066298442485E-2</v>
      </c>
    </row>
    <row r="76" spans="8:9" x14ac:dyDescent="0.3">
      <c r="H76">
        <v>6.8999999999999915</v>
      </c>
      <c r="I76" s="20">
        <f ca="1"/>
        <v>4.9823066298442485E-2</v>
      </c>
    </row>
    <row r="77" spans="8:9" x14ac:dyDescent="0.3">
      <c r="H77">
        <v>6.9999999999999911</v>
      </c>
      <c r="I77" s="20">
        <f ca="1"/>
        <v>4.9823066298442485E-2</v>
      </c>
    </row>
    <row r="78" spans="8:9" x14ac:dyDescent="0.3">
      <c r="H78">
        <v>7.0999999999999908</v>
      </c>
      <c r="I78" s="20">
        <f ca="1"/>
        <v>4.9823066298442485E-2</v>
      </c>
    </row>
    <row r="79" spans="8:9" x14ac:dyDescent="0.3">
      <c r="H79">
        <v>7.1999999999999904</v>
      </c>
      <c r="I79" s="20">
        <f ca="1"/>
        <v>4.9823066298442485E-2</v>
      </c>
    </row>
    <row r="80" spans="8:9" x14ac:dyDescent="0.3">
      <c r="H80">
        <v>7.2999999999999901</v>
      </c>
      <c r="I80" s="20">
        <f ca="1"/>
        <v>4.9823066298442485E-2</v>
      </c>
    </row>
    <row r="81" spans="8:9" x14ac:dyDescent="0.3">
      <c r="H81">
        <v>7.3999999999999897</v>
      </c>
      <c r="I81" s="20">
        <f ca="1"/>
        <v>4.9823066298442485E-2</v>
      </c>
    </row>
    <row r="82" spans="8:9" x14ac:dyDescent="0.3">
      <c r="H82">
        <v>7.4999999999999893</v>
      </c>
      <c r="I82" s="20">
        <f ca="1"/>
        <v>4.9823066298442485E-2</v>
      </c>
    </row>
    <row r="83" spans="8:9" x14ac:dyDescent="0.3">
      <c r="H83">
        <v>7.599999999999989</v>
      </c>
      <c r="I83" s="20">
        <f ca="1"/>
        <v>4.9823066298442485E-2</v>
      </c>
    </row>
    <row r="84" spans="8:9" x14ac:dyDescent="0.3">
      <c r="H84">
        <v>7.6999999999999886</v>
      </c>
      <c r="I84" s="20">
        <f ca="1"/>
        <v>4.9823066298442485E-2</v>
      </c>
    </row>
    <row r="85" spans="8:9" x14ac:dyDescent="0.3">
      <c r="H85">
        <v>7.7999999999999883</v>
      </c>
      <c r="I85" s="20">
        <f ca="1"/>
        <v>4.9823066298442485E-2</v>
      </c>
    </row>
    <row r="86" spans="8:9" x14ac:dyDescent="0.3">
      <c r="H86">
        <v>7.8999999999999879</v>
      </c>
      <c r="I86" s="20">
        <f ca="1"/>
        <v>4.9823066298442485E-2</v>
      </c>
    </row>
    <row r="87" spans="8:9" x14ac:dyDescent="0.3">
      <c r="H87">
        <v>7.9999999999999876</v>
      </c>
      <c r="I87" s="20">
        <f ca="1"/>
        <v>4.9823066298442485E-2</v>
      </c>
    </row>
    <row r="88" spans="8:9" x14ac:dyDescent="0.3">
      <c r="H88">
        <v>8.0999999999999872</v>
      </c>
      <c r="I88" s="20">
        <f ca="1"/>
        <v>4.9688666758971364E-2</v>
      </c>
    </row>
    <row r="89" spans="8:9" x14ac:dyDescent="0.3">
      <c r="H89">
        <v>8.1999999999999869</v>
      </c>
      <c r="I89" s="20">
        <f ca="1"/>
        <v>4.9688666758971364E-2</v>
      </c>
    </row>
    <row r="90" spans="8:9" x14ac:dyDescent="0.3">
      <c r="H90">
        <v>8.2999999999999865</v>
      </c>
      <c r="I90" s="20">
        <f ca="1"/>
        <v>4.9688666758971364E-2</v>
      </c>
    </row>
    <row r="91" spans="8:9" x14ac:dyDescent="0.3">
      <c r="H91">
        <v>8.3999999999999861</v>
      </c>
      <c r="I91" s="20">
        <f ca="1"/>
        <v>4.9688666758971364E-2</v>
      </c>
    </row>
    <row r="92" spans="8:9" x14ac:dyDescent="0.3">
      <c r="H92">
        <v>8.4999999999999858</v>
      </c>
      <c r="I92" s="20">
        <f ca="1"/>
        <v>4.9688666758971364E-2</v>
      </c>
    </row>
    <row r="93" spans="8:9" x14ac:dyDescent="0.3">
      <c r="H93">
        <v>8.5999999999999854</v>
      </c>
      <c r="I93" s="20">
        <f ca="1"/>
        <v>4.9688666758971364E-2</v>
      </c>
    </row>
    <row r="94" spans="8:9" x14ac:dyDescent="0.3">
      <c r="H94">
        <v>8.6999999999999851</v>
      </c>
      <c r="I94" s="20">
        <f ca="1"/>
        <v>4.9688666758971364E-2</v>
      </c>
    </row>
    <row r="95" spans="8:9" x14ac:dyDescent="0.3">
      <c r="H95">
        <v>8.7999999999999847</v>
      </c>
      <c r="I95" s="20">
        <f ca="1"/>
        <v>4.9688666758971364E-2</v>
      </c>
    </row>
    <row r="96" spans="8:9" x14ac:dyDescent="0.3">
      <c r="H96">
        <v>8.8999999999999844</v>
      </c>
      <c r="I96" s="20">
        <f ca="1"/>
        <v>4.9688666758971364E-2</v>
      </c>
    </row>
    <row r="97" spans="8:9" x14ac:dyDescent="0.3">
      <c r="H97">
        <v>8.999999999999984</v>
      </c>
      <c r="I97" s="20">
        <f ca="1"/>
        <v>4.9688666758971364E-2</v>
      </c>
    </row>
    <row r="98" spans="8:9" x14ac:dyDescent="0.3">
      <c r="H98">
        <v>9.0999999999999837</v>
      </c>
      <c r="I98" s="20">
        <f ca="1"/>
        <v>4.9823066298217138E-2</v>
      </c>
    </row>
    <row r="99" spans="8:9" x14ac:dyDescent="0.3">
      <c r="H99">
        <v>9.1999999999999833</v>
      </c>
      <c r="I99" s="20">
        <f ca="1"/>
        <v>4.9823066298217138E-2</v>
      </c>
    </row>
    <row r="100" spans="8:9" x14ac:dyDescent="0.3">
      <c r="H100">
        <v>9.2999999999999829</v>
      </c>
      <c r="I100" s="20">
        <f ca="1"/>
        <v>4.9823066298217138E-2</v>
      </c>
    </row>
    <row r="101" spans="8:9" x14ac:dyDescent="0.3">
      <c r="H101">
        <v>9.3999999999999826</v>
      </c>
      <c r="I101" s="20">
        <f ca="1"/>
        <v>4.9823066298217138E-2</v>
      </c>
    </row>
    <row r="102" spans="8:9" x14ac:dyDescent="0.3">
      <c r="H102">
        <v>9.4999999999999822</v>
      </c>
      <c r="I102" s="20">
        <f ca="1"/>
        <v>4.9823066298217138E-2</v>
      </c>
    </row>
    <row r="103" spans="8:9" x14ac:dyDescent="0.3">
      <c r="H103">
        <v>9.5999999999999819</v>
      </c>
      <c r="I103" s="20">
        <f ca="1"/>
        <v>4.9823066298217138E-2</v>
      </c>
    </row>
    <row r="104" spans="8:9" x14ac:dyDescent="0.3">
      <c r="H104">
        <v>9.6999999999999815</v>
      </c>
      <c r="I104" s="20">
        <f ca="1"/>
        <v>4.9823066298217138E-2</v>
      </c>
    </row>
    <row r="105" spans="8:9" x14ac:dyDescent="0.3">
      <c r="H105">
        <v>9.7999999999999812</v>
      </c>
      <c r="I105" s="20">
        <f ca="1"/>
        <v>4.9823066298217138E-2</v>
      </c>
    </row>
    <row r="106" spans="8:9" x14ac:dyDescent="0.3">
      <c r="H106">
        <v>9.8999999999999808</v>
      </c>
      <c r="I106" s="20">
        <f ca="1"/>
        <v>4.9823066298217138E-2</v>
      </c>
    </row>
    <row r="107" spans="8:9" x14ac:dyDescent="0.3">
      <c r="H107">
        <v>9.9999999999999805</v>
      </c>
      <c r="I107" s="20">
        <f ca="1"/>
        <v>4.9823066298217138E-2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0814-8BAC-41F3-9E28-9FC194E23C82}">
  <dimension ref="B2:E13"/>
  <sheetViews>
    <sheetView tabSelected="1" workbookViewId="0">
      <selection activeCell="D10" sqref="D10"/>
    </sheetView>
  </sheetViews>
  <sheetFormatPr defaultRowHeight="18.75" x14ac:dyDescent="0.3"/>
  <cols>
    <col min="1" max="1" width="3.69921875" customWidth="1"/>
    <col min="4" max="4" width="10.69921875" customWidth="1"/>
    <col min="5" max="5" width="11.69921875" bestFit="1" customWidth="1"/>
  </cols>
  <sheetData>
    <row r="2" spans="2:5" x14ac:dyDescent="0.3">
      <c r="B2" s="3" t="s">
        <v>49</v>
      </c>
      <c r="C2" s="9">
        <v>0.1</v>
      </c>
    </row>
    <row r="3" spans="2:5" x14ac:dyDescent="0.3">
      <c r="B3" s="3" t="s">
        <v>50</v>
      </c>
      <c r="C3" s="9">
        <v>0.1</v>
      </c>
    </row>
    <row r="4" spans="2:5" x14ac:dyDescent="0.3">
      <c r="B4" s="3" t="s">
        <v>48</v>
      </c>
      <c r="C4" s="9">
        <v>1</v>
      </c>
    </row>
    <row r="5" spans="2:5" x14ac:dyDescent="0.3">
      <c r="B5" s="3" t="s">
        <v>51</v>
      </c>
      <c r="C5" s="9">
        <v>2</v>
      </c>
    </row>
    <row r="6" spans="2:5" x14ac:dyDescent="0.3">
      <c r="B6" s="3" t="s">
        <v>53</v>
      </c>
      <c r="C6">
        <f>EXP(-r_*t)</f>
        <v>0.90483741803595952</v>
      </c>
    </row>
    <row r="7" spans="2:5" x14ac:dyDescent="0.3">
      <c r="B7" s="3" t="s">
        <v>54</v>
      </c>
      <c r="C7">
        <f>EXP(-r_*u)</f>
        <v>0.81873075307798182</v>
      </c>
    </row>
    <row r="8" spans="2:5" x14ac:dyDescent="0.3">
      <c r="B8" s="3" t="s">
        <v>52</v>
      </c>
      <c r="C8">
        <f ca="1">EXP(-r_*(u-t) + (σ^2)*((u-t)^3)/6 - σ*(u-t)*_xlfn.NORM.S.INV(RAND())*SQRT(t))</f>
        <v>0.82015323773867621</v>
      </c>
      <c r="D8">
        <f>Du/Dt</f>
        <v>0.90483741803595963</v>
      </c>
      <c r="E8">
        <f ca="1">C8/D8</f>
        <v>0.9064095067143676</v>
      </c>
    </row>
    <row r="9" spans="2:5" x14ac:dyDescent="0.3">
      <c r="B9" s="3" t="s">
        <v>58</v>
      </c>
      <c r="C9">
        <f ca="1">LN(C8)</f>
        <v>-0.19826408089178185</v>
      </c>
    </row>
    <row r="10" spans="2:5" x14ac:dyDescent="0.3">
      <c r="B10" s="10" t="s">
        <v>55</v>
      </c>
      <c r="C10" cm="1">
        <f t="array" ref="C10">_xll.TMX.HO_LEE.ED(Dt, Du, t, u, σ)</f>
        <v>0.90032452258626572</v>
      </c>
      <c r="D10" s="16" cm="1">
        <f t="array" aca="1" ref="D10" ca="1">_xll.MONTE.MEAN(C8)</f>
        <v>0.91117082891689261</v>
      </c>
    </row>
    <row r="11" spans="2:5" x14ac:dyDescent="0.3">
      <c r="B11" s="10" t="s">
        <v>56</v>
      </c>
      <c r="C11" cm="1">
        <f t="array" ref="C11">_xll.TMX.HO_LEE.ELogD(Dt, Du, t, u, σ)</f>
        <v>-0.10999999999999993</v>
      </c>
      <c r="D11" s="16">
        <f t="array" aca="1" ref="D11:D12" ca="1">_xll.MONTE.STDEV(logD)</f>
        <v>-9.8088883243502623E-2</v>
      </c>
      <c r="E11">
        <f>-r_*(u-t) + σ^2*(u-t)^3/6</f>
        <v>-9.8333333333333342E-2</v>
      </c>
    </row>
    <row r="12" spans="2:5" x14ac:dyDescent="0.3">
      <c r="B12" s="10" t="s">
        <v>57</v>
      </c>
      <c r="C12" cm="1">
        <f t="array" ref="C12">_xll.TMX.HO_LEE.VarLogD(t, u, σ)</f>
        <v>1.0000000000000002E-2</v>
      </c>
      <c r="D12" s="16">
        <f ca="1"/>
        <v>0.10065052733331713</v>
      </c>
      <c r="E12" s="16">
        <f>σ^2*(u  - t)^2*t</f>
        <v>1.0000000000000002E-2</v>
      </c>
    </row>
    <row r="13" spans="2:5" x14ac:dyDescent="0.3">
      <c r="D13" s="16">
        <f ca="1">D12^2</f>
        <v>1.0130528652474819E-2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38</vt:i4>
      </vt:variant>
    </vt:vector>
  </HeadingPairs>
  <TitlesOfParts>
    <vt:vector size="45" baseType="lpstr">
      <vt:lpstr>Enum</vt:lpstr>
      <vt:lpstr>Black</vt:lpstr>
      <vt:lpstr>Date</vt:lpstr>
      <vt:lpstr>Curve</vt:lpstr>
      <vt:lpstr>Bond</vt:lpstr>
      <vt:lpstr>Bootstrap</vt:lpstr>
      <vt:lpstr>Ho-Lee</vt:lpstr>
      <vt:lpstr>bond</vt:lpstr>
      <vt:lpstr>bond.simple</vt:lpstr>
      <vt:lpstr>Bond!coupon</vt:lpstr>
      <vt:lpstr>coupon</vt:lpstr>
      <vt:lpstr>Curve!curve</vt:lpstr>
      <vt:lpstr>curve</vt:lpstr>
      <vt:lpstr>curve_</vt:lpstr>
      <vt:lpstr>date</vt:lpstr>
      <vt:lpstr>Bond!dated</vt:lpstr>
      <vt:lpstr>dated</vt:lpstr>
      <vt:lpstr>Bond!day_count</vt:lpstr>
      <vt:lpstr>days</vt:lpstr>
      <vt:lpstr>Dt</vt:lpstr>
      <vt:lpstr>Du</vt:lpstr>
      <vt:lpstr>extrapolate</vt:lpstr>
      <vt:lpstr>f</vt:lpstr>
      <vt:lpstr>Bond!frequency</vt:lpstr>
      <vt:lpstr>Bond!instrument</vt:lpstr>
      <vt:lpstr>instrument</vt:lpstr>
      <vt:lpstr>k</vt:lpstr>
      <vt:lpstr>logD</vt:lpstr>
      <vt:lpstr>Bond!maturity</vt:lpstr>
      <vt:lpstr>maturity</vt:lpstr>
      <vt:lpstr>months</vt:lpstr>
      <vt:lpstr>price</vt:lpstr>
      <vt:lpstr>r_</vt:lpstr>
      <vt:lpstr>rate</vt:lpstr>
      <vt:lpstr>s</vt:lpstr>
      <vt:lpstr>shift</vt:lpstr>
      <vt:lpstr>spread</vt:lpstr>
      <vt:lpstr>t</vt:lpstr>
      <vt:lpstr>time</vt:lpstr>
      <vt:lpstr>translate</vt:lpstr>
      <vt:lpstr>u</vt:lpstr>
      <vt:lpstr>years</vt:lpstr>
      <vt:lpstr>years_</vt:lpstr>
      <vt:lpstr>yield</vt:lpstr>
      <vt:lpstr>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2023-06-03T12:13:38Z</dcterms:created>
  <dcterms:modified xsi:type="dcterms:W3CDTF">2023-07-06T16:45:14Z</dcterms:modified>
</cp:coreProperties>
</file>