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A898A85D-FAFE-4911-8215-4A3D0A48ED5F}" xr6:coauthVersionLast="47" xr6:coauthVersionMax="47" xr10:uidLastSave="{00000000-0000-0000-0000-000000000000}"/>
  <bookViews>
    <workbookView xWindow="-108" yWindow="-108" windowWidth="23256" windowHeight="12456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_t">'Ho-Lee'!$C$6</definedName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E7" i="4" a="1"/>
  <c r="E3" i="4" a="1"/>
  <c r="C4" i="4" a="1"/>
  <c r="E6" i="4" a="1"/>
  <c r="C6" i="4" a="1"/>
  <c r="C6" i="5" a="1"/>
  <c r="E5" i="4" a="1"/>
  <c r="E4" i="4" a="1"/>
  <c r="C14" i="7" a="1"/>
  <c r="K3" i="3" a="1"/>
  <c r="C12" i="7" a="1"/>
  <c r="H5" i="1" a="1"/>
  <c r="C13" i="7" a="1"/>
  <c r="C5" i="4" a="1"/>
  <c r="C3" i="4" a="1"/>
  <c r="E5" i="1" a="1"/>
  <c r="C9" i="6" a="1"/>
  <c r="C5" i="6" a="1"/>
  <c r="C7" i="6" a="1"/>
  <c r="D9" i="7" a="1"/>
  <c r="G6" i="6" a="1"/>
  <c r="C6" i="6" a="1"/>
  <c r="I3" i="3" a="1"/>
  <c r="D9" i="6" a="1"/>
  <c r="G7" i="6" a="1"/>
  <c r="C8" i="6" a="1"/>
  <c r="D6" i="6" a="1"/>
  <c r="I3" i="3" l="1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N31" i="3" a="1"/>
  <c r="L3" i="3" a="1"/>
  <c r="L11" i="3" a="1"/>
  <c r="L14" i="3" a="1"/>
  <c r="E3" i="3" a="1"/>
  <c r="M36" i="3" a="1"/>
  <c r="L39" i="3" a="1"/>
  <c r="M17" i="3" a="1"/>
  <c r="N40" i="3" a="1"/>
  <c r="L16" i="3" a="1"/>
  <c r="N25" i="3" a="1"/>
  <c r="L41" i="3" a="1"/>
  <c r="N42" i="3" a="1"/>
  <c r="N15" i="3" a="1"/>
  <c r="N18" i="3" a="1"/>
  <c r="N9" i="3" a="1"/>
  <c r="L36" i="3" a="1"/>
  <c r="N7" i="3" a="1"/>
  <c r="L7" i="3" a="1"/>
  <c r="N39" i="3" a="1"/>
  <c r="L23" i="3" a="1"/>
  <c r="L18" i="3" a="1"/>
  <c r="M41" i="3" a="1"/>
  <c r="N37" i="3" a="1"/>
  <c r="L9" i="3" a="1"/>
  <c r="M21" i="3" a="1"/>
  <c r="L22" i="3" a="1"/>
  <c r="N29" i="3" a="1"/>
  <c r="M9" i="3" a="1"/>
  <c r="L42" i="3" a="1"/>
  <c r="C8" i="5" a="1"/>
  <c r="N13" i="3" a="1"/>
  <c r="M32" i="3" a="1"/>
  <c r="L32" i="3" a="1"/>
  <c r="M5" i="3" a="1"/>
  <c r="L35" i="3" a="1"/>
  <c r="M35" i="3" a="1"/>
  <c r="M39" i="3" a="1"/>
  <c r="N17" i="3" a="1"/>
  <c r="L13" i="3" a="1"/>
  <c r="M15" i="3" a="1"/>
  <c r="M14" i="3" a="1"/>
  <c r="N24" i="3" a="1"/>
  <c r="M13" i="3" a="1"/>
  <c r="L30" i="3" a="1"/>
  <c r="L21" i="3" a="1"/>
  <c r="M23" i="3" a="1"/>
  <c r="M4" i="3" a="1"/>
  <c r="M29" i="3" a="1"/>
  <c r="N16" i="3" a="1"/>
  <c r="M11" i="3" a="1"/>
  <c r="N35" i="3" a="1"/>
  <c r="L15" i="3" a="1"/>
  <c r="M7" i="3" a="1"/>
  <c r="N33" i="3" a="1"/>
  <c r="N34" i="3" a="1"/>
  <c r="E6" i="6" a="1"/>
  <c r="L12" i="3" a="1"/>
  <c r="L5" i="3" a="1"/>
  <c r="L34" i="3" a="1"/>
  <c r="N10" i="3" a="1"/>
  <c r="M26" i="3" a="1"/>
  <c r="I5" i="3" a="1"/>
  <c r="L38" i="3" a="1"/>
  <c r="M12" i="3" a="1"/>
  <c r="N8" i="3" a="1"/>
  <c r="M3" i="3" a="1"/>
  <c r="N12" i="3" a="1"/>
  <c r="M8" i="3" a="1"/>
  <c r="L17" i="3" a="1"/>
  <c r="L8" i="3" a="1"/>
  <c r="N28" i="3" a="1"/>
  <c r="N23" i="3" a="1"/>
  <c r="M34" i="3" a="1"/>
  <c r="N19" i="3" a="1"/>
  <c r="M40" i="3" a="1"/>
  <c r="M19" i="3" a="1"/>
  <c r="L31" i="3" a="1"/>
  <c r="L29" i="3" a="1"/>
  <c r="C11" i="2" a="1"/>
  <c r="M42" i="3" a="1"/>
  <c r="M6" i="3" a="1"/>
  <c r="M22" i="3" a="1"/>
  <c r="N21" i="3" a="1"/>
  <c r="N6" i="3" a="1"/>
  <c r="N20" i="3" a="1"/>
  <c r="L6" i="3" a="1"/>
  <c r="L26" i="3" a="1"/>
  <c r="L28" i="3" a="1"/>
  <c r="N38" i="3" a="1"/>
  <c r="N26" i="3" a="1"/>
  <c r="L4" i="3" a="1"/>
  <c r="M37" i="3" a="1"/>
  <c r="M28" i="3" a="1"/>
  <c r="M30" i="3" a="1"/>
  <c r="M20" i="3" a="1"/>
  <c r="N14" i="3" a="1"/>
  <c r="N22" i="3" a="1"/>
  <c r="L24" i="3" a="1"/>
  <c r="M33" i="3" a="1"/>
  <c r="M25" i="3" a="1"/>
  <c r="N30" i="3" a="1"/>
  <c r="M38" i="3" a="1"/>
  <c r="L40" i="3" a="1"/>
  <c r="M31" i="3" a="1"/>
  <c r="M10" i="3" a="1"/>
  <c r="N5" i="3" a="1"/>
  <c r="M18" i="3" a="1"/>
  <c r="D12" i="7" a="1"/>
  <c r="L20" i="3" a="1"/>
  <c r="L27" i="3" a="1"/>
  <c r="L25" i="3" a="1"/>
  <c r="N36" i="3" a="1"/>
  <c r="N4" i="3" a="1"/>
  <c r="C4" i="2" a="1"/>
  <c r="L19" i="3" a="1"/>
  <c r="N32" i="3" a="1"/>
  <c r="L33" i="3" a="1"/>
  <c r="N41" i="3" a="1"/>
  <c r="N11" i="3" a="1"/>
  <c r="N27" i="3" a="1"/>
  <c r="M16" i="3" a="1"/>
  <c r="L10" i="3" a="1"/>
  <c r="N3" i="3" a="1"/>
  <c r="M24" i="3" a="1"/>
  <c r="L37" i="3" a="1"/>
  <c r="M27" i="3" a="1"/>
  <c r="D12" i="7" l="1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8" i="1" a="1"/>
  <c r="E7" i="1" a="1"/>
  <c r="E2" i="5" a="1"/>
  <c r="E13" i="1" a="1"/>
  <c r="E10" i="1" a="1"/>
  <c r="E9" i="1" a="1"/>
  <c r="E14" i="1" a="1"/>
  <c r="E11" i="1" a="1"/>
  <c r="E12" i="1" a="1"/>
  <c r="O41" i="3" a="1"/>
  <c r="O31" i="3" a="1"/>
  <c r="O12" i="3" a="1"/>
  <c r="O26" i="3" a="1"/>
  <c r="E6" i="1" a="1"/>
  <c r="O11" i="3" a="1"/>
  <c r="O30" i="3" a="1"/>
  <c r="O10" i="3" a="1"/>
  <c r="C6" i="2" a="1"/>
  <c r="O32" i="3" a="1"/>
  <c r="O3" i="3" a="1"/>
  <c r="O42" i="3" a="1"/>
  <c r="O38" i="3" a="1"/>
  <c r="O28" i="3" a="1"/>
  <c r="O6" i="3" a="1"/>
  <c r="O22" i="3" a="1"/>
  <c r="O24" i="3" a="1"/>
  <c r="C16" i="5" a="1"/>
  <c r="O36" i="3" a="1"/>
  <c r="O15" i="3" a="1"/>
  <c r="O19" i="3" a="1"/>
  <c r="O25" i="3" a="1"/>
  <c r="D13" i="7" a="1"/>
  <c r="O8" i="3" a="1"/>
  <c r="O20" i="3" a="1"/>
  <c r="O9" i="3" a="1"/>
  <c r="O5" i="3" a="1"/>
  <c r="O13" i="3" a="1"/>
  <c r="O14" i="3" a="1"/>
  <c r="C5" i="2" a="1"/>
  <c r="O4" i="3" a="1"/>
  <c r="O16" i="3" a="1"/>
  <c r="O23" i="3" a="1"/>
  <c r="O37" i="3" a="1"/>
  <c r="O18" i="3" a="1"/>
  <c r="O35" i="3" a="1"/>
  <c r="O34" i="3" a="1"/>
  <c r="O27" i="3" a="1"/>
  <c r="O39" i="3" a="1"/>
  <c r="O29" i="3" a="1"/>
  <c r="O33" i="3" a="1"/>
  <c r="O40" i="3" a="1"/>
  <c r="C9" i="5" a="1"/>
  <c r="O17" i="3" a="1"/>
  <c r="O7" i="3" a="1"/>
  <c r="O21" i="3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9" i="1" a="1"/>
  <c r="F12" i="1" a="1"/>
  <c r="F7" i="1" a="1"/>
  <c r="F8" i="1" a="1"/>
  <c r="F10" i="1" a="1"/>
  <c r="F2" i="5" a="1"/>
  <c r="F14" i="1" a="1"/>
  <c r="F5" i="1" a="1"/>
  <c r="F13" i="1" a="1"/>
  <c r="F11" i="1" a="1"/>
  <c r="C7" i="2" a="1"/>
  <c r="E16" i="5" a="1"/>
  <c r="D9" i="5" a="1"/>
  <c r="C13" i="5" a="1"/>
  <c r="F6" i="1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F16" i="5" a="1"/>
  <c r="C10" i="5" a="1"/>
  <c r="C11" i="5" a="1"/>
  <c r="C12" i="5" a="1"/>
  <c r="G5" i="1" a="1"/>
  <c r="C10" i="5" l="1"/>
  <c r="F16" i="5"/>
  <c r="G16" i="5" s="1" a="1"/>
  <c r="G16" i="5" s="1"/>
  <c r="G5" i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<sst xmlns="http://schemas.openxmlformats.org/spreadsheetml/2006/main" count="83" uniqueCount="68">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</sst>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8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168" fontId="4" fillId="3" borderId="2" xfId="3" applyNumberFormat="1"/>
    <xf numFmtId="165" fontId="4" fillId="3" borderId="2" xfId="3" applyNumberForma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0.41644948512420576</c:v>
                </c:pt>
                <c:pt idx="1">
                  <c:v>0.41644948512420576</c:v>
                </c:pt>
                <c:pt idx="2">
                  <c:v>0.41644948512420576</c:v>
                </c:pt>
                <c:pt idx="3">
                  <c:v>0.41644948512420576</c:v>
                </c:pt>
                <c:pt idx="4">
                  <c:v>0.41644948512420576</c:v>
                </c:pt>
                <c:pt idx="5">
                  <c:v>0.41644948512420576</c:v>
                </c:pt>
                <c:pt idx="6">
                  <c:v>0.41644948512420576</c:v>
                </c:pt>
                <c:pt idx="7">
                  <c:v>0.41644948512420576</c:v>
                </c:pt>
                <c:pt idx="8">
                  <c:v>0.41644948512420576</c:v>
                </c:pt>
                <c:pt idx="9">
                  <c:v>0.41644948512420576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0.41644948512420576</c:v>
                </c:pt>
                <c:pt idx="1">
                  <c:v>0.41644948512420576</c:v>
                </c:pt>
                <c:pt idx="2">
                  <c:v>0.41644948512420576</c:v>
                </c:pt>
                <c:pt idx="3">
                  <c:v>0.41644948512420576</c:v>
                </c:pt>
                <c:pt idx="4">
                  <c:v>0.41644948512420576</c:v>
                </c:pt>
                <c:pt idx="5">
                  <c:v>0.41644948512420576</c:v>
                </c:pt>
                <c:pt idx="6">
                  <c:v>0.41644948512420576</c:v>
                </c:pt>
                <c:pt idx="7">
                  <c:v>0.41644948512420576</c:v>
                </c:pt>
                <c:pt idx="8">
                  <c:v>0.41644948512420576</c:v>
                </c:pt>
                <c:pt idx="9">
                  <c:v>0.41644948512420576</c:v>
                </c:pt>
                <c:pt idx="10">
                  <c:v>0.39677225920382342</c:v>
                </c:pt>
                <c:pt idx="11">
                  <c:v>0.38037457093683813</c:v>
                </c:pt>
                <c:pt idx="12">
                  <c:v>0.36649960394169673</c:v>
                </c:pt>
                <c:pt idx="13">
                  <c:v>0.35460677508871841</c:v>
                </c:pt>
                <c:pt idx="14">
                  <c:v>0.3442996567494705</c:v>
                </c:pt>
                <c:pt idx="15">
                  <c:v>0.33528092820262856</c:v>
                </c:pt>
                <c:pt idx="16">
                  <c:v>0.32732322654365043</c:v>
                </c:pt>
                <c:pt idx="17">
                  <c:v>0.32024971395789203</c:v>
                </c:pt>
                <c:pt idx="18">
                  <c:v>0.3139207816443188</c:v>
                </c:pt>
                <c:pt idx="19">
                  <c:v>0.30822474256210286</c:v>
                </c:pt>
                <c:pt idx="20">
                  <c:v>0.30783308815438365</c:v>
                </c:pt>
                <c:pt idx="21">
                  <c:v>0.30747703869282078</c:v>
                </c:pt>
                <c:pt idx="22">
                  <c:v>0.30715195005400248</c:v>
                </c:pt>
                <c:pt idx="23">
                  <c:v>0.30685395213508571</c:v>
                </c:pt>
                <c:pt idx="24">
                  <c:v>0.30657979404968227</c:v>
                </c:pt>
                <c:pt idx="25">
                  <c:v>0.30632672504777142</c:v>
                </c:pt>
                <c:pt idx="26">
                  <c:v>0.30609240189785397</c:v>
                </c:pt>
                <c:pt idx="27">
                  <c:v>0.30587481611578776</c:v>
                </c:pt>
                <c:pt idx="28">
                  <c:v>0.30567223624972606</c:v>
                </c:pt>
                <c:pt idx="29">
                  <c:v>0.30548316170806861</c:v>
                </c:pt>
                <c:pt idx="30">
                  <c:v>0.30853209197555026</c:v>
                </c:pt>
                <c:pt idx="31">
                  <c:v>0.31139046410131432</c:v>
                </c:pt>
                <c:pt idx="32">
                  <c:v>0.31407560155278963</c:v>
                </c:pt>
                <c:pt idx="33">
                  <c:v>0.31660278974241346</c:v>
                </c:pt>
                <c:pt idx="34">
                  <c:v>0.31898556717834453</c:v>
                </c:pt>
                <c:pt idx="35">
                  <c:v>0.32123596809005717</c:v>
                </c:pt>
                <c:pt idx="36">
                  <c:v>0.32336472570924479</c:v>
                </c:pt>
                <c:pt idx="37">
                  <c:v>0.32538144345373837</c:v>
                </c:pt>
                <c:pt idx="38">
                  <c:v>0.32729473977543738</c:v>
                </c:pt>
                <c:pt idx="39">
                  <c:v>0.32911237128105142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0.95921028915993489</c:v>
                </c:pt>
                <c:pt idx="1">
                  <c:v>0.92008437883028604</c:v>
                </c:pt>
                <c:pt idx="2">
                  <c:v>0.88255440306933775</c:v>
                </c:pt>
                <c:pt idx="3">
                  <c:v>0.84655526416751326</c:v>
                </c:pt>
                <c:pt idx="4">
                  <c:v>0.81202451973198542</c:v>
                </c:pt>
                <c:pt idx="5">
                  <c:v>0.77890227437707504</c:v>
                </c:pt>
                <c:pt idx="6">
                  <c:v>0.74713107583256511</c:v>
                </c:pt>
                <c:pt idx="7">
                  <c:v>0.7166558152897281</c:v>
                </c:pt>
                <c:pt idx="8">
                  <c:v>0.687423631812209</c:v>
                </c:pt>
                <c:pt idx="9">
                  <c:v>0.65938382064596168</c:v>
                </c:pt>
                <c:pt idx="10">
                  <c:v>0.64632714619711107</c:v>
                </c:pt>
                <c:pt idx="11">
                  <c:v>0.63352901122454952</c:v>
                </c:pt>
                <c:pt idx="12">
                  <c:v>0.62098429630364393</c:v>
                </c:pt>
                <c:pt idx="13">
                  <c:v>0.60868798338116081</c:v>
                </c:pt>
                <c:pt idx="14">
                  <c:v>0.59663515376797815</c:v>
                </c:pt>
                <c:pt idx="15">
                  <c:v>0.58482098617154421</c:v>
                </c:pt>
                <c:pt idx="16">
                  <c:v>0.57324075476729586</c:v>
                </c:pt>
                <c:pt idx="17">
                  <c:v>0.56188982730826653</c:v>
                </c:pt>
                <c:pt idx="18">
                  <c:v>0.55076366327212467</c:v>
                </c:pt>
                <c:pt idx="19">
                  <c:v>0.53985781204490513</c:v>
                </c:pt>
                <c:pt idx="20">
                  <c:v>0.52390260245024822</c:v>
                </c:pt>
                <c:pt idx="21">
                  <c:v>0.50841894056228309</c:v>
                </c:pt>
                <c:pt idx="22">
                  <c:v>0.49339289004013204</c:v>
                </c:pt>
                <c:pt idx="23">
                  <c:v>0.47881092642403633</c:v>
                </c:pt>
                <c:pt idx="24">
                  <c:v>0.46465992496242942</c:v>
                </c:pt>
                <c:pt idx="25">
                  <c:v>0.45092714879877466</c:v>
                </c:pt>
                <c:pt idx="26">
                  <c:v>0.43760023750753441</c:v>
                </c:pt>
                <c:pt idx="27">
                  <c:v>0.42466719596895308</c:v>
                </c:pt>
                <c:pt idx="28">
                  <c:v>0.41211638357263958</c:v>
                </c:pt>
                <c:pt idx="29">
                  <c:v>0.39993650374023176</c:v>
                </c:pt>
                <c:pt idx="30">
                  <c:v>0.38425476912511841</c:v>
                </c:pt>
                <c:pt idx="31">
                  <c:v>0.36918792411932794</c:v>
                </c:pt>
                <c:pt idx="32">
                  <c:v>0.35471185855641951</c:v>
                </c:pt>
                <c:pt idx="33">
                  <c:v>0.34080340764310052</c:v>
                </c:pt>
                <c:pt idx="34">
                  <c:v>0.32744031489061509</c:v>
                </c:pt>
                <c:pt idx="35">
                  <c:v>0.31460119649961427</c:v>
                </c:pt>
                <c:pt idx="36">
                  <c:v>0.30226550714151418</c:v>
                </c:pt>
                <c:pt idx="37">
                  <c:v>0.29041350708158797</c:v>
                </c:pt>
                <c:pt idx="38">
                  <c:v>0.27902623059117815</c:v>
                </c:pt>
                <c:pt idx="39">
                  <c:v>0.2680854555984849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0.31644948512420579</c:v>
                </c:pt>
                <c:pt idx="1">
                  <c:v>0.31644948512420579</c:v>
                </c:pt>
                <c:pt idx="2">
                  <c:v>0.31644948512420579</c:v>
                </c:pt>
                <c:pt idx="3">
                  <c:v>0.31644948512420579</c:v>
                </c:pt>
                <c:pt idx="4">
                  <c:v>0.31644948512420579</c:v>
                </c:pt>
                <c:pt idx="5">
                  <c:v>0.31644948512420579</c:v>
                </c:pt>
                <c:pt idx="6">
                  <c:v>0.31644948512420579</c:v>
                </c:pt>
                <c:pt idx="7">
                  <c:v>0.31644948512420579</c:v>
                </c:pt>
                <c:pt idx="8">
                  <c:v>0.31644948512420579</c:v>
                </c:pt>
                <c:pt idx="9">
                  <c:v>0.31644948512420579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0.19999999999999998</c:v>
                </c:pt>
                <c:pt idx="21">
                  <c:v>0.19999999999999998</c:v>
                </c:pt>
                <c:pt idx="22">
                  <c:v>0.19999999999999998</c:v>
                </c:pt>
                <c:pt idx="23">
                  <c:v>0.19999999999999998</c:v>
                </c:pt>
                <c:pt idx="24">
                  <c:v>0.19999999999999998</c:v>
                </c:pt>
                <c:pt idx="25">
                  <c:v>0.19999999999999998</c:v>
                </c:pt>
                <c:pt idx="26">
                  <c:v>0.19999999999999998</c:v>
                </c:pt>
                <c:pt idx="27">
                  <c:v>0.19999999999999998</c:v>
                </c:pt>
                <c:pt idx="28">
                  <c:v>0.19999999999999998</c:v>
                </c:pt>
                <c:pt idx="29">
                  <c:v>0.30000000000000004</c:v>
                </c:pt>
                <c:pt idx="30">
                  <c:v>0.30000000000000004</c:v>
                </c:pt>
                <c:pt idx="31">
                  <c:v>0.30000000000000004</c:v>
                </c:pt>
                <c:pt idx="32">
                  <c:v>0.30000000000000004</c:v>
                </c:pt>
                <c:pt idx="33">
                  <c:v>0.30000000000000004</c:v>
                </c:pt>
                <c:pt idx="34">
                  <c:v>0.30000000000000004</c:v>
                </c:pt>
                <c:pt idx="35">
                  <c:v>0.30000000000000004</c:v>
                </c:pt>
                <c:pt idx="36">
                  <c:v>0.30000000000000004</c:v>
                </c:pt>
                <c:pt idx="37">
                  <c:v>0.30000000000000004</c:v>
                </c:pt>
                <c:pt idx="38">
                  <c:v>0.30000000000000004</c:v>
                </c:pt>
                <c:pt idx="39">
                  <c:v>0.30000000000000004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4.9283011639120938E-2</c:v>
                </c:pt>
                <c:pt idx="1">
                  <c:v>4.9283011639120938E-2</c:v>
                </c:pt>
                <c:pt idx="2">
                  <c:v>4.9283011639120938E-2</c:v>
                </c:pt>
                <c:pt idx="3">
                  <c:v>4.9283011639120938E-2</c:v>
                </c:pt>
                <c:pt idx="4">
                  <c:v>4.9283011639120938E-2</c:v>
                </c:pt>
                <c:pt idx="5">
                  <c:v>4.9283011639120938E-2</c:v>
                </c:pt>
                <c:pt idx="6">
                  <c:v>4.9283011639120938E-2</c:v>
                </c:pt>
                <c:pt idx="7">
                  <c:v>4.9283011639120938E-2</c:v>
                </c:pt>
                <c:pt idx="8">
                  <c:v>4.9283011639120938E-2</c:v>
                </c:pt>
                <c:pt idx="9">
                  <c:v>4.9283011639120938E-2</c:v>
                </c:pt>
                <c:pt idx="10">
                  <c:v>4.9283011639120938E-2</c:v>
                </c:pt>
                <c:pt idx="11">
                  <c:v>5.5581637272549694E-2</c:v>
                </c:pt>
                <c:pt idx="12">
                  <c:v>5.5581637272549694E-2</c:v>
                </c:pt>
                <c:pt idx="13">
                  <c:v>5.5581637272549694E-2</c:v>
                </c:pt>
                <c:pt idx="14">
                  <c:v>5.5581637272549694E-2</c:v>
                </c:pt>
                <c:pt idx="15">
                  <c:v>5.5581637272549694E-2</c:v>
                </c:pt>
                <c:pt idx="16">
                  <c:v>5.5581637272549694E-2</c:v>
                </c:pt>
                <c:pt idx="17">
                  <c:v>5.5581637272549694E-2</c:v>
                </c:pt>
                <c:pt idx="18">
                  <c:v>5.5581637272549694E-2</c:v>
                </c:pt>
                <c:pt idx="19">
                  <c:v>5.5581637272549694E-2</c:v>
                </c:pt>
                <c:pt idx="20">
                  <c:v>5.5581637272549694E-2</c:v>
                </c:pt>
                <c:pt idx="21">
                  <c:v>4.2939744506772057E-2</c:v>
                </c:pt>
                <c:pt idx="22">
                  <c:v>4.2939744506772057E-2</c:v>
                </c:pt>
                <c:pt idx="23">
                  <c:v>4.2939744506772057E-2</c:v>
                </c:pt>
                <c:pt idx="24">
                  <c:v>4.2939744506772057E-2</c:v>
                </c:pt>
                <c:pt idx="25">
                  <c:v>4.2939744506772057E-2</c:v>
                </c:pt>
                <c:pt idx="26">
                  <c:v>4.2939744506772057E-2</c:v>
                </c:pt>
                <c:pt idx="27">
                  <c:v>4.2939744506772057E-2</c:v>
                </c:pt>
                <c:pt idx="28">
                  <c:v>4.2939744506772057E-2</c:v>
                </c:pt>
                <c:pt idx="29">
                  <c:v>4.2939744506772057E-2</c:v>
                </c:pt>
                <c:pt idx="30">
                  <c:v>4.2939744506772057E-2</c:v>
                </c:pt>
                <c:pt idx="31">
                  <c:v>4.9416364400681617E-2</c:v>
                </c:pt>
                <c:pt idx="32">
                  <c:v>4.9416364400681617E-2</c:v>
                </c:pt>
                <c:pt idx="33">
                  <c:v>4.9416364400681617E-2</c:v>
                </c:pt>
                <c:pt idx="34">
                  <c:v>4.9416364400681617E-2</c:v>
                </c:pt>
                <c:pt idx="35">
                  <c:v>4.9416364400681617E-2</c:v>
                </c:pt>
                <c:pt idx="36">
                  <c:v>4.9416364400681617E-2</c:v>
                </c:pt>
                <c:pt idx="37">
                  <c:v>4.9416364400681617E-2</c:v>
                </c:pt>
                <c:pt idx="38">
                  <c:v>4.9416364400681617E-2</c:v>
                </c:pt>
                <c:pt idx="39">
                  <c:v>4.9416364400681617E-2</c:v>
                </c:pt>
                <c:pt idx="40">
                  <c:v>4.9416364400681617E-2</c:v>
                </c:pt>
                <c:pt idx="41">
                  <c:v>4.9283017362986459E-2</c:v>
                </c:pt>
                <c:pt idx="42">
                  <c:v>4.9283017362986459E-2</c:v>
                </c:pt>
                <c:pt idx="43">
                  <c:v>4.9283017362986459E-2</c:v>
                </c:pt>
                <c:pt idx="44">
                  <c:v>4.9283017362986459E-2</c:v>
                </c:pt>
                <c:pt idx="45">
                  <c:v>4.9283017362986459E-2</c:v>
                </c:pt>
                <c:pt idx="46">
                  <c:v>4.9283017362986459E-2</c:v>
                </c:pt>
                <c:pt idx="47">
                  <c:v>4.9283017362986459E-2</c:v>
                </c:pt>
                <c:pt idx="48">
                  <c:v>4.9283017362986459E-2</c:v>
                </c:pt>
                <c:pt idx="49">
                  <c:v>4.9283017362986459E-2</c:v>
                </c:pt>
                <c:pt idx="50">
                  <c:v>4.9283017362986459E-2</c:v>
                </c:pt>
                <c:pt idx="51">
                  <c:v>4.9416357720753049E-2</c:v>
                </c:pt>
                <c:pt idx="52">
                  <c:v>4.9416357720753049E-2</c:v>
                </c:pt>
                <c:pt idx="53">
                  <c:v>4.9416357720753049E-2</c:v>
                </c:pt>
                <c:pt idx="54">
                  <c:v>4.9416357720753049E-2</c:v>
                </c:pt>
                <c:pt idx="55">
                  <c:v>4.9416357720753049E-2</c:v>
                </c:pt>
                <c:pt idx="56">
                  <c:v>4.9416357720753049E-2</c:v>
                </c:pt>
                <c:pt idx="57">
                  <c:v>4.9416357720753049E-2</c:v>
                </c:pt>
                <c:pt idx="58">
                  <c:v>4.9416357720753049E-2</c:v>
                </c:pt>
                <c:pt idx="59">
                  <c:v>4.9416357720753049E-2</c:v>
                </c:pt>
                <c:pt idx="60">
                  <c:v>4.9416357720753049E-2</c:v>
                </c:pt>
                <c:pt idx="61">
                  <c:v>4.9416357720753049E-2</c:v>
                </c:pt>
                <c:pt idx="62">
                  <c:v>4.9416357720753049E-2</c:v>
                </c:pt>
                <c:pt idx="63">
                  <c:v>4.9416357720753049E-2</c:v>
                </c:pt>
                <c:pt idx="64">
                  <c:v>4.9416357720753049E-2</c:v>
                </c:pt>
                <c:pt idx="65">
                  <c:v>4.9416357720753049E-2</c:v>
                </c:pt>
                <c:pt idx="66">
                  <c:v>4.9416357720753049E-2</c:v>
                </c:pt>
                <c:pt idx="67">
                  <c:v>4.9416357720753049E-2</c:v>
                </c:pt>
                <c:pt idx="68">
                  <c:v>4.9416357720753049E-2</c:v>
                </c:pt>
                <c:pt idx="69">
                  <c:v>4.9416357720753049E-2</c:v>
                </c:pt>
                <c:pt idx="70">
                  <c:v>4.9416357720753049E-2</c:v>
                </c:pt>
                <c:pt idx="71">
                  <c:v>4.9416357720753049E-2</c:v>
                </c:pt>
                <c:pt idx="72">
                  <c:v>4.9416357720753049E-2</c:v>
                </c:pt>
                <c:pt idx="73">
                  <c:v>4.9416357720753049E-2</c:v>
                </c:pt>
                <c:pt idx="74">
                  <c:v>4.9416357720753049E-2</c:v>
                </c:pt>
                <c:pt idx="75">
                  <c:v>4.9416357720753049E-2</c:v>
                </c:pt>
                <c:pt idx="76">
                  <c:v>4.9416357720753049E-2</c:v>
                </c:pt>
                <c:pt idx="77">
                  <c:v>4.9416357720753049E-2</c:v>
                </c:pt>
                <c:pt idx="78">
                  <c:v>4.9416357720753049E-2</c:v>
                </c:pt>
                <c:pt idx="79">
                  <c:v>4.9416357720753049E-2</c:v>
                </c:pt>
                <c:pt idx="80">
                  <c:v>4.9416357720753049E-2</c:v>
                </c:pt>
                <c:pt idx="81">
                  <c:v>4.9283035687614794E-2</c:v>
                </c:pt>
                <c:pt idx="82">
                  <c:v>4.9283035687614794E-2</c:v>
                </c:pt>
                <c:pt idx="83">
                  <c:v>4.9283035687614794E-2</c:v>
                </c:pt>
                <c:pt idx="84">
                  <c:v>4.9283035687614794E-2</c:v>
                </c:pt>
                <c:pt idx="85">
                  <c:v>4.9283035687614794E-2</c:v>
                </c:pt>
                <c:pt idx="86">
                  <c:v>4.9283035687614794E-2</c:v>
                </c:pt>
                <c:pt idx="87">
                  <c:v>4.9283035687614794E-2</c:v>
                </c:pt>
                <c:pt idx="88">
                  <c:v>4.9283035687614794E-2</c:v>
                </c:pt>
                <c:pt idx="89">
                  <c:v>4.9283035687614794E-2</c:v>
                </c:pt>
                <c:pt idx="90">
                  <c:v>4.9283035687614794E-2</c:v>
                </c:pt>
                <c:pt idx="91">
                  <c:v>4.9416357721872965E-2</c:v>
                </c:pt>
                <c:pt idx="92">
                  <c:v>4.9416357721872965E-2</c:v>
                </c:pt>
                <c:pt idx="93">
                  <c:v>4.9416357721872965E-2</c:v>
                </c:pt>
                <c:pt idx="94">
                  <c:v>4.9416357721872965E-2</c:v>
                </c:pt>
                <c:pt idx="95">
                  <c:v>4.9416357721872965E-2</c:v>
                </c:pt>
                <c:pt idx="96">
                  <c:v>4.9416357721872965E-2</c:v>
                </c:pt>
                <c:pt idx="97">
                  <c:v>4.9416357721872965E-2</c:v>
                </c:pt>
                <c:pt idx="98">
                  <c:v>4.9416357721872965E-2</c:v>
                </c:pt>
                <c:pt idx="99">
                  <c:v>4.9416357721872965E-2</c:v>
                </c:pt>
                <c:pt idx="100">
                  <c:v>4.9416357721872965E-2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2</xdr:row>
      <xdr:rowOff>230333</xdr:rowOff>
    </xdr:from>
    <xdr:to>
      <xdr:col>14</xdr:col>
      <xdr:colOff>554182</xdr:colOff>
      <xdr:row>14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D6" sqref="D6"/>
    </sheetView>
  </sheetViews>
  <sheetFormatPr defaultRowHeight="18" x14ac:dyDescent="0.35"/>
  <cols>
    <col min="1" max="1" width="3.58203125" customWidth="1"/>
    <col min="2" max="2" width="28.4140625" bestFit="1" customWidth="1"/>
    <col min="3" max="3" width="3" bestFit="1" customWidth="1"/>
    <col min="4" max="4" width="29.58203125" bestFit="1" customWidth="1"/>
    <col min="5" max="5" width="11.58203125" bestFit="1" customWidth="1"/>
    <col min="7" max="7" width="11.6640625" bestFit="1" customWidth="1"/>
  </cols>
  <sheetData>
    <row r="2" spans="2:5" x14ac:dyDescent="0.35">
      <c r="B2" s="1" t="s">
        <v>20</v>
      </c>
      <c r="C2" s="1"/>
      <c r="D2" s="1" t="s">
        <v>21</v>
      </c>
    </row>
    <row r="3" spans="2:5" x14ac:dyDescent="0.35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140716592084022</v>
      </c>
    </row>
    <row r="4" spans="2:5" x14ac:dyDescent="0.35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140716592076782</v>
      </c>
    </row>
    <row r="5" spans="2:5" x14ac:dyDescent="0.35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140716592082397</v>
      </c>
    </row>
    <row r="6" spans="2:5" x14ac:dyDescent="0.35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140716592087587</v>
      </c>
    </row>
    <row r="7" spans="2:5" x14ac:dyDescent="0.35">
      <c r="D7" t="s">
        <v>30</v>
      </c>
      <c r="E7" s="4" cm="1">
        <f t="array" ref="E7">_xll.ENUM(D7)</f>
        <v>140716592119097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0"/>
  <sheetViews>
    <sheetView workbookViewId="0">
      <selection activeCell="H8" sqref="H8"/>
    </sheetView>
  </sheetViews>
  <sheetFormatPr defaultRowHeight="18" x14ac:dyDescent="0.35"/>
  <cols>
    <col min="1" max="1" width="3.6640625" customWidth="1"/>
    <col min="5" max="5" width="12.33203125" bestFit="1" customWidth="1"/>
  </cols>
  <sheetData>
    <row r="2" spans="2:8" x14ac:dyDescent="0.35">
      <c r="B2" s="3" t="s">
        <v>40</v>
      </c>
      <c r="C2" s="8">
        <f ca="1">50 + 100*RAND()</f>
        <v>55.57648474565103</v>
      </c>
    </row>
    <row r="3" spans="2:8" x14ac:dyDescent="0.35">
      <c r="B3" s="3" t="s">
        <v>41</v>
      </c>
      <c r="C3" s="8">
        <f ca="1">0.01 + 0.3*RAND()</f>
        <v>0.29839914694443209</v>
      </c>
    </row>
    <row r="4" spans="2:8" x14ac:dyDescent="0.35">
      <c r="B4" s="3" t="s">
        <v>42</v>
      </c>
      <c r="C4" s="8">
        <f ca="1">50 + 100*RAND()</f>
        <v>96.162225586071258</v>
      </c>
    </row>
    <row r="5" spans="2:8" ht="18.600000000000001" thickBot="1" x14ac:dyDescent="0.4">
      <c r="B5" s="9" t="s">
        <v>43</v>
      </c>
      <c r="C5" cm="1">
        <f t="array" aca="1" ref="C5" ca="1">_xll.TMX.BLACK.MONEYNESS(f, s, k)</f>
        <v>1.9865923582128671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4">
      <c r="B6" s="9" t="s">
        <v>18</v>
      </c>
      <c r="C6" cm="1">
        <f t="array" aca="1" ref="C6" ca="1">_xll.TMX.BLACK.PUT.VALUE(f, s, k)</f>
        <v>40.866613822992726</v>
      </c>
      <c r="D6" cm="1">
        <f t="array" aca="1" ref="D6" ca="1">_xll.TMX.BLACK.PUT.VALUE(f + D5, s, k)</f>
        <v>40.865659512958629</v>
      </c>
      <c r="E6" cm="1">
        <f t="array" aca="1" ref="E6" ca="1">_xll.TMX.BLACK.PUT.VALUE(f + E5, s, k)</f>
        <v>40.86756813881248</v>
      </c>
      <c r="G6" cm="1">
        <f t="array" aca="1" ref="G6" ca="1">_xll.TMX.BLACK.CALL.VALUE(f, s, k)</f>
        <v>0.28087298257249671</v>
      </c>
      <c r="H6" s="16">
        <f ca="1">G6-C6-f+k</f>
        <v>0</v>
      </c>
    </row>
    <row r="7" spans="2:8" ht="19.2" thickTop="1" thickBot="1" x14ac:dyDescent="0.4">
      <c r="B7" s="9" t="s">
        <v>44</v>
      </c>
      <c r="C7" cm="1">
        <f t="array" aca="1" ref="C7" ca="1">_xll.TMX.BLACK.PUT.DELTA(f, s, k)</f>
        <v>-0.95431292701417658</v>
      </c>
      <c r="D7">
        <f ca="1">(D6-E6)/(D5-E5)</f>
        <v>-0.9543129269253825</v>
      </c>
      <c r="E7" s="16">
        <f ca="1">(C7-D7)/C7</f>
        <v>9.3045038669969195E-11</v>
      </c>
      <c r="G7" cm="1">
        <f t="array" aca="1" ref="G7" ca="1">_xll.TMX.BLACK.CALL.DELTA(f, s, k)</f>
        <v>0.95431292701417658</v>
      </c>
      <c r="H7" s="16">
        <f ca="1">G7+C7</f>
        <v>0</v>
      </c>
    </row>
    <row r="8" spans="2:8" ht="19.2" thickTop="1" thickBot="1" x14ac:dyDescent="0.4">
      <c r="B8" s="9" t="s">
        <v>45</v>
      </c>
      <c r="C8" cm="1">
        <f t="array" aca="1" ref="C8" ca="1">_xll.TMX.BLACK.GAMMA(f, s, k)</f>
        <v>5.7856555916260023E-3</v>
      </c>
      <c r="D8">
        <f ca="1">(D6-2*C6+E6)/(D5^2)</f>
        <v>5.7856581747728342E-3</v>
      </c>
      <c r="E8" s="16">
        <f t="shared" ref="E8:E9" ca="1" si="0">(C8-D8)/C8</f>
        <v>-4.4647435211861792E-7</v>
      </c>
    </row>
    <row r="9" spans="2:8" ht="19.2" thickTop="1" thickBot="1" x14ac:dyDescent="0.4">
      <c r="B9" s="9" t="s">
        <v>46</v>
      </c>
      <c r="C9" cm="1">
        <f t="array" aca="1" ref="C9" ca="1">_xll.TMX.BLACK.VEGA(f, s, k)</f>
        <v>5.3325176597229742</v>
      </c>
      <c r="D9" cm="1">
        <f t="array" aca="1" ref="D9" ca="1">(_xll.TMX.BLACK.PUT.VALUE(f, s + D5, k) - _xll.TMX.BLACK.PUT.VALUE(f, s + E5, k))/(D5 - E5)</f>
        <v>5.3325286132235306</v>
      </c>
      <c r="E9" s="16">
        <f t="shared" ca="1" si="0"/>
        <v>-2.0540955052220857E-6</v>
      </c>
    </row>
    <row r="10" spans="2:8" ht="18.600000000000001" thickTop="1" x14ac:dyDescent="0.35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6" sqref="C6"/>
    </sheetView>
  </sheetViews>
  <sheetFormatPr defaultRowHeight="18" x14ac:dyDescent="0.35"/>
  <cols>
    <col min="1" max="1" width="3.58203125" customWidth="1"/>
    <col min="3" max="3" width="12.1640625" bestFit="1" customWidth="1"/>
    <col min="4" max="4" width="10.4140625" bestFit="1" customWidth="1"/>
  </cols>
  <sheetData>
    <row r="2" spans="2:4" x14ac:dyDescent="0.35">
      <c r="B2" s="3" t="s">
        <v>7</v>
      </c>
      <c r="C2" s="7">
        <f ca="1">TODAY()</f>
        <v>45113</v>
      </c>
    </row>
    <row r="3" spans="2:4" x14ac:dyDescent="0.35">
      <c r="B3" s="3" t="s">
        <v>8</v>
      </c>
      <c r="C3" s="8">
        <f ca="1">10*RAND()</f>
        <v>3.1697596372643244</v>
      </c>
    </row>
    <row r="4" spans="2:4" ht="18.600000000000001" thickBot="1" x14ac:dyDescent="0.4">
      <c r="B4" s="9" t="s">
        <v>9</v>
      </c>
      <c r="C4" s="2" cm="1">
        <f t="array" aca="1" ref="C4" ca="1">_xll.TMX.DATE.ADD_YEARS(date,years)</f>
        <v>46270.730925925927</v>
      </c>
      <c r="D4">
        <f ca="1">C4</f>
        <v>46270.730925925927</v>
      </c>
    </row>
    <row r="5" spans="2:4" ht="19.2" thickTop="1" thickBot="1" x14ac:dyDescent="0.4">
      <c r="B5" s="3"/>
      <c r="C5" s="2" cm="1">
        <f t="array" aca="1" ref="C5" ca="1">_xll.TMX.DATE.ADD_YEARS(C4,-years)</f>
        <v>45113</v>
      </c>
      <c r="D5" s="6">
        <f ca="1">C5-date</f>
        <v>0</v>
      </c>
    </row>
    <row r="6" spans="2:4" ht="18.600000000000001" thickTop="1" x14ac:dyDescent="0.35">
      <c r="B6" s="9" t="s">
        <v>10</v>
      </c>
      <c r="C6" cm="1">
        <f t="array" aca="1" ref="C6" ca="1">_xll.TMX.DATE.SUB_YEARS(C4,date)</f>
        <v>3.1677584070857034</v>
      </c>
    </row>
    <row r="7" spans="2:4" ht="18.600000000000001" thickBot="1" x14ac:dyDescent="0.4">
      <c r="B7" s="3"/>
      <c r="C7" s="2" cm="1">
        <f t="array" aca="1" ref="C7" ca="1">_xll.TMX.DATE.ADD_YEARS(date,C6)</f>
        <v>46270</v>
      </c>
      <c r="D7">
        <f ca="1">C7</f>
        <v>46270</v>
      </c>
    </row>
    <row r="8" spans="2:4" ht="19.2" thickTop="1" thickBot="1" x14ac:dyDescent="0.4">
      <c r="B8" s="3" t="s">
        <v>14</v>
      </c>
      <c r="C8" s="8">
        <v>1</v>
      </c>
      <c r="D8" s="6">
        <f ca="1">-years_ + YEAR(C11)-YEAR(date)</f>
        <v>0</v>
      </c>
    </row>
    <row r="9" spans="2:4" ht="19.2" thickTop="1" thickBot="1" x14ac:dyDescent="0.4">
      <c r="B9" s="3" t="s">
        <v>11</v>
      </c>
      <c r="C9" s="8">
        <v>2</v>
      </c>
      <c r="D9" s="6">
        <f ca="1">-months + MONTH(C11)-MONTH(date)</f>
        <v>0</v>
      </c>
    </row>
    <row r="10" spans="2:4" ht="19.2" thickTop="1" thickBot="1" x14ac:dyDescent="0.4">
      <c r="B10" s="3" t="s">
        <v>12</v>
      </c>
      <c r="C10" s="8">
        <v>3</v>
      </c>
      <c r="D10" s="6">
        <f ca="1">-days + DATE(YEAR(date),MONTH(date),DAY(C11))-date</f>
        <v>0</v>
      </c>
    </row>
    <row r="11" spans="2:4" ht="18.600000000000001" thickTop="1" x14ac:dyDescent="0.35">
      <c r="B11" s="9" t="s">
        <v>13</v>
      </c>
      <c r="C11" s="2" cm="1">
        <f t="array" aca="1" ref="C11" ca="1">_xll.TMX.DATE.ADD_YMD(date, years_,months, days)</f>
        <v>45544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="110" zoomScaleNormal="110" workbookViewId="0">
      <selection activeCell="L3" sqref="L3"/>
    </sheetView>
  </sheetViews>
  <sheetFormatPr defaultRowHeight="18" x14ac:dyDescent="0.35"/>
  <cols>
    <col min="1" max="1" width="3.58203125" customWidth="1"/>
    <col min="4" max="4" width="3.58203125" customWidth="1"/>
    <col min="5" max="6" width="8.6640625" customWidth="1"/>
    <col min="7" max="7" width="3.58203125" customWidth="1"/>
    <col min="9" max="9" width="11.58203125" bestFit="1" customWidth="1"/>
    <col min="10" max="10" width="3.58203125" customWidth="1"/>
    <col min="17" max="17" width="10.6640625" bestFit="1" customWidth="1"/>
  </cols>
  <sheetData>
    <row r="2" spans="2:15" x14ac:dyDescent="0.35">
      <c r="B2" s="1" t="s">
        <v>15</v>
      </c>
      <c r="C2" s="1" t="s">
        <v>16</v>
      </c>
      <c r="H2" s="3" t="s">
        <v>63</v>
      </c>
      <c r="I2">
        <v>0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5">
      <c r="B3" s="8">
        <v>1</v>
      </c>
      <c r="C3" s="14">
        <f ca="1">RAND()</f>
        <v>0.41644948512420576</v>
      </c>
      <c r="E3" s="25" cm="1">
        <f t="array" aca="1" ref="E3:F6" ca="1">TRANSPOSE(_xll.TMX.PWFLAT.CURVE(curve))</f>
        <v>1</v>
      </c>
      <c r="F3" s="26">
        <f ca="1"/>
        <v>0.41644948512420576</v>
      </c>
      <c r="G3" s="15"/>
      <c r="H3" s="3" t="s">
        <v>6</v>
      </c>
      <c r="I3" s="4" cm="1">
        <f t="array" aca="1" ref="I3" ca="1">_xll.\TMX.PWFLAT.CURVE(time, rate, extrapolate)</f>
        <v>2141527846656</v>
      </c>
      <c r="K3" cm="1">
        <f t="array" ref="K3:K42">_xll.ARRAY.SEQUENCE(0.1,4,0.1)</f>
        <v>0.1</v>
      </c>
      <c r="L3" cm="1">
        <f t="array" aca="1" ref="L3" ca="1">_xll.TMX.PWFLAT.CURVE.FORWARD(curve,K3,translate)</f>
        <v>0.41644948512420576</v>
      </c>
      <c r="M3" cm="1">
        <f t="array" aca="1" ref="M3" ca="1">_xll.TMX.PWFLAT.CURVE.YIELD(curve,K3,translate)</f>
        <v>0.41644948512420576</v>
      </c>
      <c r="N3" cm="1">
        <f t="array" aca="1" ref="N3" ca="1">_xll.TMX.PWFLAT.CURVE.DISCOUNT(curve,K3,translate)</f>
        <v>0.95921028915993489</v>
      </c>
      <c r="O3" cm="1">
        <f t="array" aca="1" ref="O3" ca="1">_xll.TMX.PWFLAT.CURVE.FORWARD(shift,K3,translate)</f>
        <v>0.31644948512420579</v>
      </c>
    </row>
    <row r="4" spans="2:15" x14ac:dyDescent="0.35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-0.1</v>
      </c>
      <c r="K4">
        <v>0.2</v>
      </c>
      <c r="L4" cm="1">
        <f t="array" aca="1" ref="L4" ca="1">_xll.TMX.PWFLAT.CURVE.FORWARD(curve,K4,translate)</f>
        <v>0.41644948512420576</v>
      </c>
      <c r="M4" cm="1">
        <f t="array" aca="1" ref="M4" ca="1">_xll.TMX.PWFLAT.CURVE.YIELD(curve,K4,translate)</f>
        <v>0.41644948512420576</v>
      </c>
      <c r="N4" cm="1">
        <f t="array" aca="1" ref="N4" ca="1">_xll.TMX.PWFLAT.CURVE.DISCOUNT(curve,K4,translate)</f>
        <v>0.92008437883028604</v>
      </c>
      <c r="O4" cm="1">
        <f t="array" aca="1" ref="O4" ca="1">_xll.TMX.PWFLAT.CURVE.FORWARD(shift,K4,translate)</f>
        <v>0.31644948512420579</v>
      </c>
    </row>
    <row r="5" spans="2:15" x14ac:dyDescent="0.35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2141527841552</v>
      </c>
      <c r="K5">
        <v>0.30000000000000004</v>
      </c>
      <c r="L5" cm="1">
        <f t="array" aca="1" ref="L5" ca="1">_xll.TMX.PWFLAT.CURVE.FORWARD(curve,K5,translate)</f>
        <v>0.41644948512420576</v>
      </c>
      <c r="M5" cm="1">
        <f t="array" aca="1" ref="M5" ca="1">_xll.TMX.PWFLAT.CURVE.YIELD(curve,K5,translate)</f>
        <v>0.41644948512420576</v>
      </c>
      <c r="N5" cm="1">
        <f t="array" aca="1" ref="N5" ca="1">_xll.TMX.PWFLAT.CURVE.DISCOUNT(curve,K5,translate)</f>
        <v>0.88255440306933775</v>
      </c>
      <c r="O5" cm="1">
        <f t="array" aca="1" ref="O5" ca="1">_xll.TMX.PWFLAT.CURVE.FORWARD(shift,K5,translate)</f>
        <v>0.31644948512420579</v>
      </c>
    </row>
    <row r="6" spans="2:15" x14ac:dyDescent="0.35">
      <c r="B6" s="3" t="s">
        <v>17</v>
      </c>
      <c r="C6" s="8">
        <v>0.4</v>
      </c>
      <c r="E6" s="25">
        <f ca="1"/>
        <v>3</v>
      </c>
      <c r="F6" s="25">
        <f ca="1"/>
        <v>0.4</v>
      </c>
      <c r="H6" s="3"/>
      <c r="I6" s="4"/>
      <c r="K6">
        <v>0.4</v>
      </c>
      <c r="L6" cm="1">
        <f t="array" aca="1" ref="L6" ca="1">_xll.TMX.PWFLAT.CURVE.FORWARD(curve,K6,translate)</f>
        <v>0.41644948512420576</v>
      </c>
      <c r="M6" cm="1">
        <f t="array" aca="1" ref="M6" ca="1">_xll.TMX.PWFLAT.CURVE.YIELD(curve,K6,translate)</f>
        <v>0.41644948512420576</v>
      </c>
      <c r="N6" cm="1">
        <f t="array" aca="1" ref="N6" ca="1">_xll.TMX.PWFLAT.CURVE.DISCOUNT(curve,K6,translate)</f>
        <v>0.84655526416751326</v>
      </c>
      <c r="O6" cm="1">
        <f t="array" aca="1" ref="O6" ca="1">_xll.TMX.PWFLAT.CURVE.FORWARD(shift,K6,translate)</f>
        <v>0.31644948512420579</v>
      </c>
    </row>
    <row r="7" spans="2:15" x14ac:dyDescent="0.35">
      <c r="K7">
        <v>0.5</v>
      </c>
      <c r="L7" cm="1">
        <f t="array" aca="1" ref="L7" ca="1">_xll.TMX.PWFLAT.CURVE.FORWARD(curve,K7,translate)</f>
        <v>0.41644948512420576</v>
      </c>
      <c r="M7" cm="1">
        <f t="array" aca="1" ref="M7" ca="1">_xll.TMX.PWFLAT.CURVE.YIELD(curve,K7,translate)</f>
        <v>0.41644948512420576</v>
      </c>
      <c r="N7" cm="1">
        <f t="array" aca="1" ref="N7" ca="1">_xll.TMX.PWFLAT.CURVE.DISCOUNT(curve,K7,translate)</f>
        <v>0.81202451973198542</v>
      </c>
      <c r="O7" cm="1">
        <f t="array" aca="1" ref="O7" ca="1">_xll.TMX.PWFLAT.CURVE.FORWARD(shift,K7,translate)</f>
        <v>0.31644948512420579</v>
      </c>
    </row>
    <row r="8" spans="2:15" x14ac:dyDescent="0.35">
      <c r="K8">
        <v>0.6</v>
      </c>
      <c r="L8" cm="1">
        <f t="array" aca="1" ref="L8" ca="1">_xll.TMX.PWFLAT.CURVE.FORWARD(curve,K8,translate)</f>
        <v>0.41644948512420576</v>
      </c>
      <c r="M8" cm="1">
        <f t="array" aca="1" ref="M8" ca="1">_xll.TMX.PWFLAT.CURVE.YIELD(curve,K8,translate)</f>
        <v>0.41644948512420576</v>
      </c>
      <c r="N8" cm="1">
        <f t="array" aca="1" ref="N8" ca="1">_xll.TMX.PWFLAT.CURVE.DISCOUNT(curve,K8,translate)</f>
        <v>0.77890227437707504</v>
      </c>
      <c r="O8" cm="1">
        <f t="array" aca="1" ref="O8" ca="1">_xll.TMX.PWFLAT.CURVE.FORWARD(shift,K8,translate)</f>
        <v>0.31644948512420579</v>
      </c>
    </row>
    <row r="9" spans="2:15" x14ac:dyDescent="0.35">
      <c r="K9">
        <v>0.70000000000000007</v>
      </c>
      <c r="L9" cm="1">
        <f t="array" aca="1" ref="L9" ca="1">_xll.TMX.PWFLAT.CURVE.FORWARD(curve,K9,translate)</f>
        <v>0.41644948512420576</v>
      </c>
      <c r="M9" cm="1">
        <f t="array" aca="1" ref="M9" ca="1">_xll.TMX.PWFLAT.CURVE.YIELD(curve,K9,translate)</f>
        <v>0.41644948512420576</v>
      </c>
      <c r="N9" cm="1">
        <f t="array" aca="1" ref="N9" ca="1">_xll.TMX.PWFLAT.CURVE.DISCOUNT(curve,K9,translate)</f>
        <v>0.74713107583256511</v>
      </c>
      <c r="O9" cm="1">
        <f t="array" aca="1" ref="O9" ca="1">_xll.TMX.PWFLAT.CURVE.FORWARD(shift,K9,translate)</f>
        <v>0.31644948512420579</v>
      </c>
    </row>
    <row r="10" spans="2:15" x14ac:dyDescent="0.35">
      <c r="K10">
        <v>0.8</v>
      </c>
      <c r="L10" cm="1">
        <f t="array" aca="1" ref="L10" ca="1">_xll.TMX.PWFLAT.CURVE.FORWARD(curve,K10,translate)</f>
        <v>0.41644948512420576</v>
      </c>
      <c r="M10" cm="1">
        <f t="array" aca="1" ref="M10" ca="1">_xll.TMX.PWFLAT.CURVE.YIELD(curve,K10,translate)</f>
        <v>0.41644948512420576</v>
      </c>
      <c r="N10" cm="1">
        <f t="array" aca="1" ref="N10" ca="1">_xll.TMX.PWFLAT.CURVE.DISCOUNT(curve,K10,translate)</f>
        <v>0.7166558152897281</v>
      </c>
      <c r="O10" cm="1">
        <f t="array" aca="1" ref="O10" ca="1">_xll.TMX.PWFLAT.CURVE.FORWARD(shift,K10,translate)</f>
        <v>0.31644948512420579</v>
      </c>
    </row>
    <row r="11" spans="2:15" x14ac:dyDescent="0.35">
      <c r="K11">
        <v>0.9</v>
      </c>
      <c r="L11" cm="1">
        <f t="array" aca="1" ref="L11" ca="1">_xll.TMX.PWFLAT.CURVE.FORWARD(curve,K11,translate)</f>
        <v>0.41644948512420576</v>
      </c>
      <c r="M11" cm="1">
        <f t="array" aca="1" ref="M11" ca="1">_xll.TMX.PWFLAT.CURVE.YIELD(curve,K11,translate)</f>
        <v>0.41644948512420576</v>
      </c>
      <c r="N11" cm="1">
        <f t="array" aca="1" ref="N11" ca="1">_xll.TMX.PWFLAT.CURVE.DISCOUNT(curve,K11,translate)</f>
        <v>0.687423631812209</v>
      </c>
      <c r="O11" cm="1">
        <f t="array" aca="1" ref="O11" ca="1">_xll.TMX.PWFLAT.CURVE.FORWARD(shift,K11,translate)</f>
        <v>0.31644948512420579</v>
      </c>
    </row>
    <row r="12" spans="2:15" x14ac:dyDescent="0.35">
      <c r="K12">
        <v>1</v>
      </c>
      <c r="L12" cm="1">
        <f t="array" aca="1" ref="L12" ca="1">_xll.TMX.PWFLAT.CURVE.FORWARD(curve,K12,translate)</f>
        <v>0.41644948512420576</v>
      </c>
      <c r="M12" cm="1">
        <f t="array" aca="1" ref="M12" ca="1">_xll.TMX.PWFLAT.CURVE.YIELD(curve,K12,translate)</f>
        <v>0.41644948512420576</v>
      </c>
      <c r="N12" cm="1">
        <f t="array" aca="1" ref="N12" ca="1">_xll.TMX.PWFLAT.CURVE.DISCOUNT(curve,K12,translate)</f>
        <v>0.65938382064596168</v>
      </c>
      <c r="O12" cm="1">
        <f t="array" aca="1" ref="O12" ca="1">_xll.TMX.PWFLAT.CURVE.FORWARD(shift,K12,translate)</f>
        <v>0.31644948512420579</v>
      </c>
    </row>
    <row r="13" spans="2:15" x14ac:dyDescent="0.35">
      <c r="K13">
        <v>1.1000000000000001</v>
      </c>
      <c r="L13" cm="1">
        <f t="array" aca="1" ref="L13" ca="1">_xll.TMX.PWFLAT.CURVE.FORWARD(curve,K13,translate)</f>
        <v>0.2</v>
      </c>
      <c r="M13" cm="1">
        <f t="array" aca="1" ref="M13" ca="1">_xll.TMX.PWFLAT.CURVE.YIELD(curve,K13,translate)</f>
        <v>0.39677225920382342</v>
      </c>
      <c r="N13" cm="1">
        <f t="array" aca="1" ref="N13" ca="1">_xll.TMX.PWFLAT.CURVE.DISCOUNT(curve,K13,translate)</f>
        <v>0.64632714619711107</v>
      </c>
      <c r="O13" cm="1">
        <f t="array" aca="1" ref="O13" ca="1">_xll.TMX.PWFLAT.CURVE.FORWARD(shift,K13,translate)</f>
        <v>0.1</v>
      </c>
    </row>
    <row r="14" spans="2:15" x14ac:dyDescent="0.35">
      <c r="K14">
        <v>1.2000000000000002</v>
      </c>
      <c r="L14" cm="1">
        <f t="array" aca="1" ref="L14" ca="1">_xll.TMX.PWFLAT.CURVE.FORWARD(curve,K14,translate)</f>
        <v>0.2</v>
      </c>
      <c r="M14" cm="1">
        <f t="array" aca="1" ref="M14" ca="1">_xll.TMX.PWFLAT.CURVE.YIELD(curve,K14,translate)</f>
        <v>0.38037457093683813</v>
      </c>
      <c r="N14" cm="1">
        <f t="array" aca="1" ref="N14" ca="1">_xll.TMX.PWFLAT.CURVE.DISCOUNT(curve,K14,translate)</f>
        <v>0.63352901122454952</v>
      </c>
      <c r="O14" cm="1">
        <f t="array" aca="1" ref="O14" ca="1">_xll.TMX.PWFLAT.CURVE.FORWARD(shift,K14,translate)</f>
        <v>0.1</v>
      </c>
    </row>
    <row r="15" spans="2:15" x14ac:dyDescent="0.35">
      <c r="K15">
        <v>1.3000000000000003</v>
      </c>
      <c r="L15" cm="1">
        <f t="array" aca="1" ref="L15" ca="1">_xll.TMX.PWFLAT.CURVE.FORWARD(curve,K15,translate)</f>
        <v>0.2</v>
      </c>
      <c r="M15" cm="1">
        <f t="array" aca="1" ref="M15" ca="1">_xll.TMX.PWFLAT.CURVE.YIELD(curve,K15,translate)</f>
        <v>0.36649960394169673</v>
      </c>
      <c r="N15" cm="1">
        <f t="array" aca="1" ref="N15" ca="1">_xll.TMX.PWFLAT.CURVE.DISCOUNT(curve,K15,translate)</f>
        <v>0.62098429630364393</v>
      </c>
      <c r="O15" cm="1">
        <f t="array" aca="1" ref="O15" ca="1">_xll.TMX.PWFLAT.CURVE.FORWARD(shift,K15,translate)</f>
        <v>0.1</v>
      </c>
    </row>
    <row r="16" spans="2:15" x14ac:dyDescent="0.35">
      <c r="K16">
        <v>1.4000000000000001</v>
      </c>
      <c r="L16" cm="1">
        <f t="array" aca="1" ref="L16" ca="1">_xll.TMX.PWFLAT.CURVE.FORWARD(curve,K16,translate)</f>
        <v>0.2</v>
      </c>
      <c r="M16" cm="1">
        <f t="array" aca="1" ref="M16" ca="1">_xll.TMX.PWFLAT.CURVE.YIELD(curve,K16,translate)</f>
        <v>0.35460677508871841</v>
      </c>
      <c r="N16" cm="1">
        <f t="array" aca="1" ref="N16" ca="1">_xll.TMX.PWFLAT.CURVE.DISCOUNT(curve,K16,translate)</f>
        <v>0.60868798338116081</v>
      </c>
      <c r="O16" cm="1">
        <f t="array" aca="1" ref="O16" ca="1">_xll.TMX.PWFLAT.CURVE.FORWARD(shift,K16,translate)</f>
        <v>0.1</v>
      </c>
    </row>
    <row r="17" spans="11:15" x14ac:dyDescent="0.35">
      <c r="K17">
        <v>1.5000000000000002</v>
      </c>
      <c r="L17" cm="1">
        <f t="array" aca="1" ref="L17" ca="1">_xll.TMX.PWFLAT.CURVE.FORWARD(curve,K17,translate)</f>
        <v>0.2</v>
      </c>
      <c r="M17" cm="1">
        <f t="array" aca="1" ref="M17" ca="1">_xll.TMX.PWFLAT.CURVE.YIELD(curve,K17,translate)</f>
        <v>0.3442996567494705</v>
      </c>
      <c r="N17" cm="1">
        <f t="array" aca="1" ref="N17" ca="1">_xll.TMX.PWFLAT.CURVE.DISCOUNT(curve,K17,translate)</f>
        <v>0.59663515376797815</v>
      </c>
      <c r="O17" cm="1">
        <f t="array" aca="1" ref="O17" ca="1">_xll.TMX.PWFLAT.CURVE.FORWARD(shift,K17,translate)</f>
        <v>0.1</v>
      </c>
    </row>
    <row r="18" spans="11:15" x14ac:dyDescent="0.35">
      <c r="K18">
        <v>1.6</v>
      </c>
      <c r="L18" cm="1">
        <f t="array" aca="1" ref="L18" ca="1">_xll.TMX.PWFLAT.CURVE.FORWARD(curve,K18,translate)</f>
        <v>0.2</v>
      </c>
      <c r="M18" cm="1">
        <f t="array" aca="1" ref="M18" ca="1">_xll.TMX.PWFLAT.CURVE.YIELD(curve,K18,translate)</f>
        <v>0.33528092820262856</v>
      </c>
      <c r="N18" cm="1">
        <f t="array" aca="1" ref="N18" ca="1">_xll.TMX.PWFLAT.CURVE.DISCOUNT(curve,K18,translate)</f>
        <v>0.58482098617154421</v>
      </c>
      <c r="O18" cm="1">
        <f t="array" aca="1" ref="O18" ca="1">_xll.TMX.PWFLAT.CURVE.FORWARD(shift,K18,translate)</f>
        <v>0.1</v>
      </c>
    </row>
    <row r="19" spans="11:15" x14ac:dyDescent="0.35">
      <c r="K19">
        <v>1.7000000000000002</v>
      </c>
      <c r="L19" cm="1">
        <f t="array" aca="1" ref="L19" ca="1">_xll.TMX.PWFLAT.CURVE.FORWARD(curve,K19,translate)</f>
        <v>0.2</v>
      </c>
      <c r="M19" cm="1">
        <f t="array" aca="1" ref="M19" ca="1">_xll.TMX.PWFLAT.CURVE.YIELD(curve,K19,translate)</f>
        <v>0.32732322654365043</v>
      </c>
      <c r="N19" cm="1">
        <f t="array" aca="1" ref="N19" ca="1">_xll.TMX.PWFLAT.CURVE.DISCOUNT(curve,K19,translate)</f>
        <v>0.57324075476729586</v>
      </c>
      <c r="O19" cm="1">
        <f t="array" aca="1" ref="O19" ca="1">_xll.TMX.PWFLAT.CURVE.FORWARD(shift,K19,translate)</f>
        <v>0.1</v>
      </c>
    </row>
    <row r="20" spans="11:15" x14ac:dyDescent="0.35">
      <c r="K20">
        <v>1.8000000000000003</v>
      </c>
      <c r="L20" cm="1">
        <f t="array" aca="1" ref="L20" ca="1">_xll.TMX.PWFLAT.CURVE.FORWARD(curve,K20,translate)</f>
        <v>0.2</v>
      </c>
      <c r="M20" cm="1">
        <f t="array" aca="1" ref="M20" ca="1">_xll.TMX.PWFLAT.CURVE.YIELD(curve,K20,translate)</f>
        <v>0.32024971395789203</v>
      </c>
      <c r="N20" cm="1">
        <f t="array" aca="1" ref="N20" ca="1">_xll.TMX.PWFLAT.CURVE.DISCOUNT(curve,K20,translate)</f>
        <v>0.56188982730826653</v>
      </c>
      <c r="O20" cm="1">
        <f t="array" aca="1" ref="O20" ca="1">_xll.TMX.PWFLAT.CURVE.FORWARD(shift,K20,translate)</f>
        <v>0.1</v>
      </c>
    </row>
    <row r="21" spans="11:15" x14ac:dyDescent="0.35">
      <c r="K21">
        <v>1.9000000000000001</v>
      </c>
      <c r="L21" cm="1">
        <f t="array" aca="1" ref="L21" ca="1">_xll.TMX.PWFLAT.CURVE.FORWARD(curve,K21,translate)</f>
        <v>0.2</v>
      </c>
      <c r="M21" cm="1">
        <f t="array" aca="1" ref="M21" ca="1">_xll.TMX.PWFLAT.CURVE.YIELD(curve,K21,translate)</f>
        <v>0.3139207816443188</v>
      </c>
      <c r="N21" cm="1">
        <f t="array" aca="1" ref="N21" ca="1">_xll.TMX.PWFLAT.CURVE.DISCOUNT(curve,K21,translate)</f>
        <v>0.55076366327212467</v>
      </c>
      <c r="O21" cm="1">
        <f t="array" aca="1" ref="O21" ca="1">_xll.TMX.PWFLAT.CURVE.FORWARD(shift,K21,translate)</f>
        <v>0.1</v>
      </c>
    </row>
    <row r="22" spans="11:15" x14ac:dyDescent="0.35">
      <c r="K22">
        <v>2</v>
      </c>
      <c r="L22" cm="1">
        <f t="array" aca="1" ref="L22" ca="1">_xll.TMX.PWFLAT.CURVE.FORWARD(curve,K22,translate)</f>
        <v>0.2</v>
      </c>
      <c r="M22" cm="1">
        <f t="array" aca="1" ref="M22" ca="1">_xll.TMX.PWFLAT.CURVE.YIELD(curve,K22,translate)</f>
        <v>0.30822474256210286</v>
      </c>
      <c r="N22" cm="1">
        <f t="array" aca="1" ref="N22" ca="1">_xll.TMX.PWFLAT.CURVE.DISCOUNT(curve,K22,translate)</f>
        <v>0.53985781204490513</v>
      </c>
      <c r="O22" cm="1">
        <f t="array" aca="1" ref="O22" ca="1">_xll.TMX.PWFLAT.CURVE.FORWARD(shift,K22,translate)</f>
        <v>0.1</v>
      </c>
    </row>
    <row r="23" spans="11:15" x14ac:dyDescent="0.35">
      <c r="K23">
        <v>2.1</v>
      </c>
      <c r="L23" cm="1">
        <f t="array" aca="1" ref="L23" ca="1">_xll.TMX.PWFLAT.CURVE.FORWARD(curve,K23,translate)</f>
        <v>0.3</v>
      </c>
      <c r="M23" cm="1">
        <f t="array" aca="1" ref="M23" ca="1">_xll.TMX.PWFLAT.CURVE.YIELD(curve,K23,translate)</f>
        <v>0.30783308815438365</v>
      </c>
      <c r="N23" cm="1">
        <f t="array" aca="1" ref="N23" ca="1">_xll.TMX.PWFLAT.CURVE.DISCOUNT(curve,K23,translate)</f>
        <v>0.52390260245024822</v>
      </c>
      <c r="O23" cm="1">
        <f t="array" aca="1" ref="O23" ca="1">_xll.TMX.PWFLAT.CURVE.FORWARD(shift,K23,translate)</f>
        <v>0.19999999999999998</v>
      </c>
    </row>
    <row r="24" spans="11:15" x14ac:dyDescent="0.35">
      <c r="K24">
        <v>2.2000000000000002</v>
      </c>
      <c r="L24" cm="1">
        <f t="array" aca="1" ref="L24" ca="1">_xll.TMX.PWFLAT.CURVE.FORWARD(curve,K24,translate)</f>
        <v>0.3</v>
      </c>
      <c r="M24" cm="1">
        <f t="array" aca="1" ref="M24" ca="1">_xll.TMX.PWFLAT.CURVE.YIELD(curve,K24,translate)</f>
        <v>0.30747703869282078</v>
      </c>
      <c r="N24" cm="1">
        <f t="array" aca="1" ref="N24" ca="1">_xll.TMX.PWFLAT.CURVE.DISCOUNT(curve,K24,translate)</f>
        <v>0.50841894056228309</v>
      </c>
      <c r="O24" cm="1">
        <f t="array" aca="1" ref="O24" ca="1">_xll.TMX.PWFLAT.CURVE.FORWARD(shift,K24,translate)</f>
        <v>0.19999999999999998</v>
      </c>
    </row>
    <row r="25" spans="11:15" x14ac:dyDescent="0.35">
      <c r="K25">
        <v>2.3000000000000003</v>
      </c>
      <c r="L25" cm="1">
        <f t="array" aca="1" ref="L25" ca="1">_xll.TMX.PWFLAT.CURVE.FORWARD(curve,K25,translate)</f>
        <v>0.3</v>
      </c>
      <c r="M25" cm="1">
        <f t="array" aca="1" ref="M25" ca="1">_xll.TMX.PWFLAT.CURVE.YIELD(curve,K25,translate)</f>
        <v>0.30715195005400248</v>
      </c>
      <c r="N25" cm="1">
        <f t="array" aca="1" ref="N25" ca="1">_xll.TMX.PWFLAT.CURVE.DISCOUNT(curve,K25,translate)</f>
        <v>0.49339289004013204</v>
      </c>
      <c r="O25" cm="1">
        <f t="array" aca="1" ref="O25" ca="1">_xll.TMX.PWFLAT.CURVE.FORWARD(shift,K25,translate)</f>
        <v>0.19999999999999998</v>
      </c>
    </row>
    <row r="26" spans="11:15" x14ac:dyDescent="0.35">
      <c r="K26">
        <v>2.4000000000000004</v>
      </c>
      <c r="L26" cm="1">
        <f t="array" aca="1" ref="L26" ca="1">_xll.TMX.PWFLAT.CURVE.FORWARD(curve,K26,translate)</f>
        <v>0.3</v>
      </c>
      <c r="M26" cm="1">
        <f t="array" aca="1" ref="M26" ca="1">_xll.TMX.PWFLAT.CURVE.YIELD(curve,K26,translate)</f>
        <v>0.30685395213508571</v>
      </c>
      <c r="N26" cm="1">
        <f t="array" aca="1" ref="N26" ca="1">_xll.TMX.PWFLAT.CURVE.DISCOUNT(curve,K26,translate)</f>
        <v>0.47881092642403633</v>
      </c>
      <c r="O26" cm="1">
        <f t="array" aca="1" ref="O26" ca="1">_xll.TMX.PWFLAT.CURVE.FORWARD(shift,K26,translate)</f>
        <v>0.19999999999999998</v>
      </c>
    </row>
    <row r="27" spans="11:15" x14ac:dyDescent="0.35">
      <c r="K27">
        <v>2.5000000000000004</v>
      </c>
      <c r="L27" cm="1">
        <f t="array" aca="1" ref="L27" ca="1">_xll.TMX.PWFLAT.CURVE.FORWARD(curve,K27,translate)</f>
        <v>0.3</v>
      </c>
      <c r="M27" cm="1">
        <f t="array" aca="1" ref="M27" ca="1">_xll.TMX.PWFLAT.CURVE.YIELD(curve,K27,translate)</f>
        <v>0.30657979404968227</v>
      </c>
      <c r="N27" cm="1">
        <f t="array" aca="1" ref="N27" ca="1">_xll.TMX.PWFLAT.CURVE.DISCOUNT(curve,K27,translate)</f>
        <v>0.46465992496242942</v>
      </c>
      <c r="O27" cm="1">
        <f t="array" aca="1" ref="O27" ca="1">_xll.TMX.PWFLAT.CURVE.FORWARD(shift,K27,translate)</f>
        <v>0.19999999999999998</v>
      </c>
    </row>
    <row r="28" spans="11:15" x14ac:dyDescent="0.35">
      <c r="K28">
        <v>2.6</v>
      </c>
      <c r="L28" cm="1">
        <f t="array" aca="1" ref="L28" ca="1">_xll.TMX.PWFLAT.CURVE.FORWARD(curve,K28,translate)</f>
        <v>0.3</v>
      </c>
      <c r="M28" cm="1">
        <f t="array" aca="1" ref="M28" ca="1">_xll.TMX.PWFLAT.CURVE.YIELD(curve,K28,translate)</f>
        <v>0.30632672504777142</v>
      </c>
      <c r="N28" cm="1">
        <f t="array" aca="1" ref="N28" ca="1">_xll.TMX.PWFLAT.CURVE.DISCOUNT(curve,K28,translate)</f>
        <v>0.45092714879877466</v>
      </c>
      <c r="O28" cm="1">
        <f t="array" aca="1" ref="O28" ca="1">_xll.TMX.PWFLAT.CURVE.FORWARD(shift,K28,translate)</f>
        <v>0.19999999999999998</v>
      </c>
    </row>
    <row r="29" spans="11:15" x14ac:dyDescent="0.35">
      <c r="K29">
        <v>2.7</v>
      </c>
      <c r="L29" cm="1">
        <f t="array" aca="1" ref="L29" ca="1">_xll.TMX.PWFLAT.CURVE.FORWARD(curve,K29,translate)</f>
        <v>0.3</v>
      </c>
      <c r="M29" cm="1">
        <f t="array" aca="1" ref="M29" ca="1">_xll.TMX.PWFLAT.CURVE.YIELD(curve,K29,translate)</f>
        <v>0.30609240189785397</v>
      </c>
      <c r="N29" cm="1">
        <f t="array" aca="1" ref="N29" ca="1">_xll.TMX.PWFLAT.CURVE.DISCOUNT(curve,K29,translate)</f>
        <v>0.43760023750753441</v>
      </c>
      <c r="O29" cm="1">
        <f t="array" aca="1" ref="O29" ca="1">_xll.TMX.PWFLAT.CURVE.FORWARD(shift,K29,translate)</f>
        <v>0.19999999999999998</v>
      </c>
    </row>
    <row r="30" spans="11:15" x14ac:dyDescent="0.35">
      <c r="K30">
        <v>2.8000000000000003</v>
      </c>
      <c r="L30" cm="1">
        <f t="array" aca="1" ref="L30" ca="1">_xll.TMX.PWFLAT.CURVE.FORWARD(curve,K30,translate)</f>
        <v>0.3</v>
      </c>
      <c r="M30" cm="1">
        <f t="array" aca="1" ref="M30" ca="1">_xll.TMX.PWFLAT.CURVE.YIELD(curve,K30,translate)</f>
        <v>0.30587481611578776</v>
      </c>
      <c r="N30" cm="1">
        <f t="array" aca="1" ref="N30" ca="1">_xll.TMX.PWFLAT.CURVE.DISCOUNT(curve,K30,translate)</f>
        <v>0.42466719596895308</v>
      </c>
      <c r="O30" cm="1">
        <f t="array" aca="1" ref="O30" ca="1">_xll.TMX.PWFLAT.CURVE.FORWARD(shift,K30,translate)</f>
        <v>0.19999999999999998</v>
      </c>
    </row>
    <row r="31" spans="11:15" x14ac:dyDescent="0.35">
      <c r="K31">
        <v>2.9000000000000004</v>
      </c>
      <c r="L31" cm="1">
        <f t="array" aca="1" ref="L31" ca="1">_xll.TMX.PWFLAT.CURVE.FORWARD(curve,K31,translate)</f>
        <v>0.3</v>
      </c>
      <c r="M31" cm="1">
        <f t="array" aca="1" ref="M31" ca="1">_xll.TMX.PWFLAT.CURVE.YIELD(curve,K31,translate)</f>
        <v>0.30567223624972606</v>
      </c>
      <c r="N31" cm="1">
        <f t="array" aca="1" ref="N31" ca="1">_xll.TMX.PWFLAT.CURVE.DISCOUNT(curve,K31,translate)</f>
        <v>0.41211638357263958</v>
      </c>
      <c r="O31" cm="1">
        <f t="array" aca="1" ref="O31" ca="1">_xll.TMX.PWFLAT.CURVE.FORWARD(shift,K31,translate)</f>
        <v>0.19999999999999998</v>
      </c>
    </row>
    <row r="32" spans="11:15" x14ac:dyDescent="0.35">
      <c r="K32">
        <v>3.0000000000000004</v>
      </c>
      <c r="L32" cm="1">
        <f t="array" aca="1" ref="L32" ca="1">_xll.TMX.PWFLAT.CURVE.FORWARD(curve,K32,translate)</f>
        <v>0.4</v>
      </c>
      <c r="M32" cm="1">
        <f t="array" aca="1" ref="M32" ca="1">_xll.TMX.PWFLAT.CURVE.YIELD(curve,K32,translate)</f>
        <v>0.30548316170806861</v>
      </c>
      <c r="N32" cm="1">
        <f t="array" aca="1" ref="N32" ca="1">_xll.TMX.PWFLAT.CURVE.DISCOUNT(curve,K32,translate)</f>
        <v>0.39993650374023176</v>
      </c>
      <c r="O32" cm="1">
        <f t="array" aca="1" ref="O32" ca="1">_xll.TMX.PWFLAT.CURVE.FORWARD(shift,K32,translate)</f>
        <v>0.30000000000000004</v>
      </c>
    </row>
    <row r="33" spans="11:15" x14ac:dyDescent="0.35">
      <c r="K33">
        <v>3.1</v>
      </c>
      <c r="L33" cm="1">
        <f t="array" aca="1" ref="L33" ca="1">_xll.TMX.PWFLAT.CURVE.FORWARD(curve,K33,translate)</f>
        <v>0.4</v>
      </c>
      <c r="M33" cm="1">
        <f t="array" aca="1" ref="M33" ca="1">_xll.TMX.PWFLAT.CURVE.YIELD(curve,K33,translate)</f>
        <v>0.30853209197555026</v>
      </c>
      <c r="N33" cm="1">
        <f t="array" aca="1" ref="N33" ca="1">_xll.TMX.PWFLAT.CURVE.DISCOUNT(curve,K33,translate)</f>
        <v>0.38425476912511841</v>
      </c>
      <c r="O33" cm="1">
        <f t="array" aca="1" ref="O33" ca="1">_xll.TMX.PWFLAT.CURVE.FORWARD(shift,K33,translate)</f>
        <v>0.30000000000000004</v>
      </c>
    </row>
    <row r="34" spans="11:15" x14ac:dyDescent="0.35">
      <c r="K34">
        <v>3.2</v>
      </c>
      <c r="L34" cm="1">
        <f t="array" aca="1" ref="L34" ca="1">_xll.TMX.PWFLAT.CURVE.FORWARD(curve,K34,translate)</f>
        <v>0.4</v>
      </c>
      <c r="M34" cm="1">
        <f t="array" aca="1" ref="M34" ca="1">_xll.TMX.PWFLAT.CURVE.YIELD(curve,K34,translate)</f>
        <v>0.31139046410131432</v>
      </c>
      <c r="N34" cm="1">
        <f t="array" aca="1" ref="N34" ca="1">_xll.TMX.PWFLAT.CURVE.DISCOUNT(curve,K34,translate)</f>
        <v>0.36918792411932794</v>
      </c>
      <c r="O34" cm="1">
        <f t="array" aca="1" ref="O34" ca="1">_xll.TMX.PWFLAT.CURVE.FORWARD(shift,K34,translate)</f>
        <v>0.30000000000000004</v>
      </c>
    </row>
    <row r="35" spans="11:15" x14ac:dyDescent="0.35">
      <c r="K35">
        <v>3.3000000000000003</v>
      </c>
      <c r="L35" cm="1">
        <f t="array" aca="1" ref="L35" ca="1">_xll.TMX.PWFLAT.CURVE.FORWARD(curve,K35,translate)</f>
        <v>0.4</v>
      </c>
      <c r="M35" cm="1">
        <f t="array" aca="1" ref="M35" ca="1">_xll.TMX.PWFLAT.CURVE.YIELD(curve,K35,translate)</f>
        <v>0.31407560155278963</v>
      </c>
      <c r="N35" cm="1">
        <f t="array" aca="1" ref="N35" ca="1">_xll.TMX.PWFLAT.CURVE.DISCOUNT(curve,K35,translate)</f>
        <v>0.35471185855641951</v>
      </c>
      <c r="O35" cm="1">
        <f t="array" aca="1" ref="O35" ca="1">_xll.TMX.PWFLAT.CURVE.FORWARD(shift,K35,translate)</f>
        <v>0.30000000000000004</v>
      </c>
    </row>
    <row r="36" spans="11:15" x14ac:dyDescent="0.35">
      <c r="K36">
        <v>3.4000000000000004</v>
      </c>
      <c r="L36" cm="1">
        <f t="array" aca="1" ref="L36" ca="1">_xll.TMX.PWFLAT.CURVE.FORWARD(curve,K36,translate)</f>
        <v>0.4</v>
      </c>
      <c r="M36" cm="1">
        <f t="array" aca="1" ref="M36" ca="1">_xll.TMX.PWFLAT.CURVE.YIELD(curve,K36,translate)</f>
        <v>0.31660278974241346</v>
      </c>
      <c r="N36" cm="1">
        <f t="array" aca="1" ref="N36" ca="1">_xll.TMX.PWFLAT.CURVE.DISCOUNT(curve,K36,translate)</f>
        <v>0.34080340764310052</v>
      </c>
      <c r="O36" cm="1">
        <f t="array" aca="1" ref="O36" ca="1">_xll.TMX.PWFLAT.CURVE.FORWARD(shift,K36,translate)</f>
        <v>0.30000000000000004</v>
      </c>
    </row>
    <row r="37" spans="11:15" x14ac:dyDescent="0.35">
      <c r="K37">
        <v>3.5000000000000004</v>
      </c>
      <c r="L37" cm="1">
        <f t="array" aca="1" ref="L37" ca="1">_xll.TMX.PWFLAT.CURVE.FORWARD(curve,K37,translate)</f>
        <v>0.4</v>
      </c>
      <c r="M37" cm="1">
        <f t="array" aca="1" ref="M37" ca="1">_xll.TMX.PWFLAT.CURVE.YIELD(curve,K37,translate)</f>
        <v>0.31898556717834453</v>
      </c>
      <c r="N37" cm="1">
        <f t="array" aca="1" ref="N37" ca="1">_xll.TMX.PWFLAT.CURVE.DISCOUNT(curve,K37,translate)</f>
        <v>0.32744031489061509</v>
      </c>
      <c r="O37" cm="1">
        <f t="array" aca="1" ref="O37" ca="1">_xll.TMX.PWFLAT.CURVE.FORWARD(shift,K37,translate)</f>
        <v>0.30000000000000004</v>
      </c>
    </row>
    <row r="38" spans="11:15" x14ac:dyDescent="0.35">
      <c r="K38">
        <v>3.6</v>
      </c>
      <c r="L38" cm="1">
        <f t="array" aca="1" ref="L38" ca="1">_xll.TMX.PWFLAT.CURVE.FORWARD(curve,K38,translate)</f>
        <v>0.4</v>
      </c>
      <c r="M38" cm="1">
        <f t="array" aca="1" ref="M38" ca="1">_xll.TMX.PWFLAT.CURVE.YIELD(curve,K38,translate)</f>
        <v>0.32123596809005717</v>
      </c>
      <c r="N38" cm="1">
        <f t="array" aca="1" ref="N38" ca="1">_xll.TMX.PWFLAT.CURVE.DISCOUNT(curve,K38,translate)</f>
        <v>0.31460119649961427</v>
      </c>
      <c r="O38" cm="1">
        <f t="array" aca="1" ref="O38" ca="1">_xll.TMX.PWFLAT.CURVE.FORWARD(shift,K38,translate)</f>
        <v>0.30000000000000004</v>
      </c>
    </row>
    <row r="39" spans="11:15" x14ac:dyDescent="0.35">
      <c r="K39">
        <v>3.7</v>
      </c>
      <c r="L39" cm="1">
        <f t="array" aca="1" ref="L39" ca="1">_xll.TMX.PWFLAT.CURVE.FORWARD(curve,K39,translate)</f>
        <v>0.4</v>
      </c>
      <c r="M39" cm="1">
        <f t="array" aca="1" ref="M39" ca="1">_xll.TMX.PWFLAT.CURVE.YIELD(curve,K39,translate)</f>
        <v>0.32336472570924479</v>
      </c>
      <c r="N39" cm="1">
        <f t="array" aca="1" ref="N39" ca="1">_xll.TMX.PWFLAT.CURVE.DISCOUNT(curve,K39,translate)</f>
        <v>0.30226550714151418</v>
      </c>
      <c r="O39" cm="1">
        <f t="array" aca="1" ref="O39" ca="1">_xll.TMX.PWFLAT.CURVE.FORWARD(shift,K39,translate)</f>
        <v>0.30000000000000004</v>
      </c>
    </row>
    <row r="40" spans="11:15" x14ac:dyDescent="0.35">
      <c r="K40">
        <v>3.8000000000000003</v>
      </c>
      <c r="L40" cm="1">
        <f t="array" aca="1" ref="L40" ca="1">_xll.TMX.PWFLAT.CURVE.FORWARD(curve,K40,translate)</f>
        <v>0.4</v>
      </c>
      <c r="M40" cm="1">
        <f t="array" aca="1" ref="M40" ca="1">_xll.TMX.PWFLAT.CURVE.YIELD(curve,K40,translate)</f>
        <v>0.32538144345373837</v>
      </c>
      <c r="N40" cm="1">
        <f t="array" aca="1" ref="N40" ca="1">_xll.TMX.PWFLAT.CURVE.DISCOUNT(curve,K40,translate)</f>
        <v>0.29041350708158797</v>
      </c>
      <c r="O40" cm="1">
        <f t="array" aca="1" ref="O40" ca="1">_xll.TMX.PWFLAT.CURVE.FORWARD(shift,K40,translate)</f>
        <v>0.30000000000000004</v>
      </c>
    </row>
    <row r="41" spans="11:15" x14ac:dyDescent="0.35">
      <c r="K41">
        <v>3.9000000000000004</v>
      </c>
      <c r="L41" cm="1">
        <f t="array" aca="1" ref="L41" ca="1">_xll.TMX.PWFLAT.CURVE.FORWARD(curve,K41,translate)</f>
        <v>0.4</v>
      </c>
      <c r="M41" cm="1">
        <f t="array" aca="1" ref="M41" ca="1">_xll.TMX.PWFLAT.CURVE.YIELD(curve,K41,translate)</f>
        <v>0.32729473977543738</v>
      </c>
      <c r="N41" cm="1">
        <f t="array" aca="1" ref="N41" ca="1">_xll.TMX.PWFLAT.CURVE.DISCOUNT(curve,K41,translate)</f>
        <v>0.27902623059117815</v>
      </c>
      <c r="O41" cm="1">
        <f t="array" aca="1" ref="O41" ca="1">_xll.TMX.PWFLAT.CURVE.FORWARD(shift,K41,translate)</f>
        <v>0.30000000000000004</v>
      </c>
    </row>
    <row r="42" spans="11:15" x14ac:dyDescent="0.35">
      <c r="K42">
        <v>4</v>
      </c>
      <c r="L42" cm="1">
        <f t="array" aca="1" ref="L42" ca="1">_xll.TMX.PWFLAT.CURVE.FORWARD(curve,K42,translate)</f>
        <v>0.4</v>
      </c>
      <c r="M42" cm="1">
        <f t="array" aca="1" ref="M42" ca="1">_xll.TMX.PWFLAT.CURVE.YIELD(curve,K42,translate)</f>
        <v>0.32911237128105142</v>
      </c>
      <c r="N42" cm="1">
        <f t="array" aca="1" ref="N42" ca="1">_xll.TMX.PWFLAT.CURVE.DISCOUNT(curve,K42,translate)</f>
        <v>0.2680854555984849</v>
      </c>
      <c r="O42" cm="1">
        <f t="array" aca="1" ref="O42" ca="1">_xll.TMX.PWFLAT.CURVE.FORWARD(shift,K42,translate)</f>
        <v>0.30000000000000004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/>
  </sheetViews>
  <sheetFormatPr defaultRowHeight="18" x14ac:dyDescent="0.35"/>
  <cols>
    <col min="1" max="1" width="3.58203125" customWidth="1"/>
    <col min="3" max="3" width="11.58203125" bestFit="1" customWidth="1"/>
    <col min="4" max="4" width="10.9140625" customWidth="1"/>
    <col min="5" max="5" width="11.58203125" bestFit="1" customWidth="1"/>
    <col min="6" max="6" width="10.83203125" bestFit="1" customWidth="1"/>
    <col min="7" max="7" width="9.83203125" bestFit="1" customWidth="1"/>
    <col min="8" max="8" width="9" bestFit="1" customWidth="1"/>
    <col min="9" max="9" width="9.4140625" bestFit="1" customWidth="1"/>
  </cols>
  <sheetData>
    <row r="1" spans="2:9" ht="18.600000000000001" thickBot="1" x14ac:dyDescent="0.4"/>
    <row r="2" spans="2:9" ht="19.2" thickTop="1" thickBot="1" x14ac:dyDescent="0.4">
      <c r="B2" s="10" t="s">
        <v>0</v>
      </c>
      <c r="C2" s="11">
        <v>3</v>
      </c>
      <c r="D2" s="25" cm="1">
        <f t="array" ref="D2:D5">_xll.TMX.BOND.SIMPLE(bond.simple)</f>
        <v>3</v>
      </c>
      <c r="E2" s="4" cm="1">
        <f t="array" ref="E2">_xll.\TMX.BOND.SIMPLE(D2,D3,D4,D5)</f>
        <v>2141508726912</v>
      </c>
      <c r="F2" s="25" cm="1">
        <f t="array" ref="F2:F5">_xll.TMX.BOND.SIMPLE(E2)</f>
        <v>3</v>
      </c>
      <c r="G2" s="16">
        <f>F2-D2</f>
        <v>0</v>
      </c>
    </row>
    <row r="3" spans="2:9" ht="19.2" thickTop="1" thickBot="1" x14ac:dyDescent="0.4">
      <c r="B3" s="3" t="s">
        <v>1</v>
      </c>
      <c r="C3" s="12">
        <v>0.02</v>
      </c>
      <c r="D3" s="25">
        <v>0.02</v>
      </c>
      <c r="F3" s="25">
        <v>0.02</v>
      </c>
      <c r="G3" s="16">
        <f t="shared" ref="G3:G5" si="0">F3-D3</f>
        <v>0</v>
      </c>
    </row>
    <row r="4" spans="2:9" ht="19.2" thickTop="1" thickBot="1" x14ac:dyDescent="0.4">
      <c r="B4" s="3" t="s">
        <v>20</v>
      </c>
      <c r="C4" s="13" t="s">
        <v>24</v>
      </c>
      <c r="D4" s="25">
        <v>4</v>
      </c>
      <c r="F4" s="25">
        <v>4</v>
      </c>
      <c r="G4" s="16">
        <f t="shared" si="0"/>
        <v>0</v>
      </c>
    </row>
    <row r="5" spans="2:9" ht="19.2" thickTop="1" thickBot="1" x14ac:dyDescent="0.4">
      <c r="B5" s="3" t="s">
        <v>21</v>
      </c>
      <c r="C5" s="13" t="s">
        <v>27</v>
      </c>
      <c r="D5" s="28">
        <v>140716592076782</v>
      </c>
      <c r="F5" s="28">
        <v>140716592076782</v>
      </c>
      <c r="G5" s="16">
        <f t="shared" si="0"/>
        <v>0</v>
      </c>
    </row>
    <row r="6" spans="2:9" ht="18.600000000000001" thickTop="1" x14ac:dyDescent="0.35">
      <c r="B6" s="9" t="s">
        <v>31</v>
      </c>
      <c r="C6" s="4" cm="1">
        <f t="array" ref="C6">_xll.\TMX.BOND.SIMPLE(maturity, coupon, _xll.ENUM(frequency), _xll.ENUM(day_count))</f>
        <v>2141508729408</v>
      </c>
    </row>
    <row r="7" spans="2:9" x14ac:dyDescent="0.35">
      <c r="B7" s="3" t="s">
        <v>4</v>
      </c>
      <c r="C7" s="2">
        <f ca="1">TODAY()</f>
        <v>45113</v>
      </c>
    </row>
    <row r="8" spans="2:9" x14ac:dyDescent="0.35">
      <c r="B8" s="9" t="s">
        <v>35</v>
      </c>
      <c r="C8" s="4" cm="1">
        <f t="array" aca="1" ref="C8" ca="1">_xll.\TMX.BOND.INSTRUMENT(bond.simple, dated)</f>
        <v>2141527836800</v>
      </c>
    </row>
    <row r="9" spans="2:9" x14ac:dyDescent="0.35">
      <c r="B9" s="9" t="s">
        <v>36</v>
      </c>
      <c r="C9" s="19" cm="1">
        <f t="array" aca="1" ref="C9" ca="1">_xll.TMX.VALUE.YIELD(instrument, 1)</f>
        <v>2.0239937843028265E-2</v>
      </c>
      <c r="D9" s="4" cm="1">
        <f t="array" aca="1" ref="D9" ca="1">_xll.\TMX.PWFLAT.CURVE(0,0,yield)</f>
        <v>2141527845072</v>
      </c>
    </row>
    <row r="10" spans="2:9" x14ac:dyDescent="0.35">
      <c r="B10" s="9" t="s">
        <v>59</v>
      </c>
      <c r="C10" s="22" cm="1">
        <f t="array" aca="1" ref="C10" ca="1">_xll.TMX.VALUE.PRESENT(instrument, $D$9)</f>
        <v>1.0000000000000056</v>
      </c>
    </row>
    <row r="11" spans="2:9" x14ac:dyDescent="0.35">
      <c r="B11" s="9" t="s">
        <v>38</v>
      </c>
      <c r="C11" s="22" cm="1">
        <f t="array" aca="1" ref="C11" ca="1">_xll.TMX.VALUE.DURATION(instrument, $D$9)</f>
        <v>-2.9188134000356967</v>
      </c>
    </row>
    <row r="12" spans="2:9" ht="18.600000000000001" thickBot="1" x14ac:dyDescent="0.4">
      <c r="B12" s="9" t="s">
        <v>39</v>
      </c>
      <c r="C12" s="22" cm="1">
        <f t="array" aca="1" ref="C12" ca="1">_xll.TMX.VALUE.CONVEXITY(instrument, $D$9)</f>
        <v>8.6705434182642289</v>
      </c>
    </row>
    <row r="13" spans="2:9" ht="19.2" thickTop="1" thickBot="1" x14ac:dyDescent="0.4">
      <c r="B13" s="9" t="s">
        <v>37</v>
      </c>
      <c r="C13" s="19" cm="1">
        <f t="array" aca="1" ref="C13" ca="1">_xll.TMX.VALUE.COMPOUND_YIELD(yield,_xll.ENUM(frequency))</f>
        <v>2.0291231206562621E-2</v>
      </c>
      <c r="D13" s="29">
        <f ca="1">C13-coupon</f>
        <v>2.9123120656262061E-4</v>
      </c>
      <c r="G13" s="30">
        <f ca="1">present-G14</f>
        <v>0</v>
      </c>
      <c r="H13" s="30">
        <f ca="1">duration-H14</f>
        <v>0</v>
      </c>
      <c r="I13" s="31">
        <f ca="1">convexity-I14</f>
        <v>0</v>
      </c>
    </row>
    <row r="14" spans="2:9" ht="18.600000000000001" thickTop="1" x14ac:dyDescent="0.35">
      <c r="G14" s="23">
        <f ca="1">SUM(_xlfn.ANCHORARRAY(G16))</f>
        <v>1.0000000000000056</v>
      </c>
      <c r="H14" s="23">
        <f ca="1">SUM(_xlfn.ANCHORARRAY(H16))</f>
        <v>-2.9188134000356967</v>
      </c>
      <c r="I14" s="15">
        <f ca="1">SUM(_xlfn.ANCHORARRAY(I16))</f>
        <v>8.6705434182642289</v>
      </c>
    </row>
    <row r="15" spans="2:9" x14ac:dyDescent="0.35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5">
      <c r="C16" s="15" cm="1">
        <f t="array" aca="1" ref="C16:D27" ca="1">TRANSPOSE(_xll.TMX.INSTRUMENT(instrument))</f>
        <v>0.25188744464294271</v>
      </c>
      <c r="D16">
        <f ca="1"/>
        <v>5.1111111111111105E-3</v>
      </c>
      <c r="E16" s="2" cm="1">
        <f t="array" aca="1" ref="E16:E27" ca="1">_xlfn.MAP(time,_xlfn.LAMBDA(_xlpm.t,_xll.TMX.DATE.ADD_YEARS(dated,_xlpm.t)))</f>
        <v>45205</v>
      </c>
      <c r="F16" s="15" cm="1">
        <f t="array" aca="1" ref="F16:F27" ca="1">_xlfn.MAP(time,_xlfn.LAMBDA(_xlpm.t, _xll.TMX.PWFLAT.CURVE.DISCOUNT($D$9, _xlpm.t)))</f>
        <v>0.99491478747156925</v>
      </c>
      <c r="G16" s="15" cm="1">
        <f t="array" aca="1" ref="G16:G27" ca="1">cash*_xlfn.ANCHORARRAY(F16)</f>
        <v>5.0851200248546863E-3</v>
      </c>
      <c r="H16" s="15" cm="1">
        <f t="array" aca="1" ref="H16:H27" ca="1">-time*_xlfn.ANCHORARRAY(G16)</f>
        <v>-1.2808778887633042E-3</v>
      </c>
      <c r="I16" s="15" cm="1">
        <f t="array" aca="1" ref="I16:I27" ca="1">time^2*_xlfn.ANCHORARRAY(G16)</f>
        <v>3.2263705830023613E-4</v>
      </c>
    </row>
    <row r="17" spans="3:9" x14ac:dyDescent="0.35">
      <c r="C17" s="15">
        <f ca="1"/>
        <v>0.50377488928588543</v>
      </c>
      <c r="D17">
        <f ca="1"/>
        <v>5.1111111111111105E-3</v>
      </c>
      <c r="E17" s="2">
        <f ca="1"/>
        <v>45297</v>
      </c>
      <c r="F17" s="15">
        <f ca="1"/>
        <v>0.98985543432959777</v>
      </c>
      <c r="G17" s="15">
        <f ca="1"/>
        <v>5.0592611087957214E-3</v>
      </c>
      <c r="H17" s="15">
        <f ca="1"/>
        <v>-2.5487287049519507E-3</v>
      </c>
      <c r="I17" s="15">
        <f ca="1"/>
        <v>1.2839855211569269E-3</v>
      </c>
    </row>
    <row r="18" spans="3:9" x14ac:dyDescent="0.35">
      <c r="C18" s="15">
        <f ca="1"/>
        <v>0.75292442692183958</v>
      </c>
      <c r="D18">
        <f ca="1"/>
        <v>5.0555555555555553E-3</v>
      </c>
      <c r="E18" s="2">
        <f ca="1"/>
        <v>45388</v>
      </c>
      <c r="F18" s="15">
        <f ca="1"/>
        <v>0.98487638455291215</v>
      </c>
      <c r="G18" s="15">
        <f ca="1"/>
        <v>4.9790972774619449E-3</v>
      </c>
      <c r="H18" s="15">
        <f ca="1"/>
        <v>-3.7488839642211267E-3</v>
      </c>
      <c r="I18" s="15">
        <f ca="1"/>
        <v>2.8226263103576657E-3</v>
      </c>
    </row>
    <row r="19" spans="3:9" x14ac:dyDescent="0.35">
      <c r="C19" s="15">
        <f ca="1"/>
        <v>1.0020739645577939</v>
      </c>
      <c r="D19">
        <f ca="1"/>
        <v>5.0555555555555553E-3</v>
      </c>
      <c r="E19" s="2">
        <f ca="1"/>
        <v>45479</v>
      </c>
      <c r="F19" s="15">
        <f ca="1"/>
        <v>0.97992237978362762</v>
      </c>
      <c r="G19" s="15">
        <f ca="1"/>
        <v>4.9540520311283391E-3</v>
      </c>
      <c r="H19" s="15">
        <f ca="1"/>
        <v>-4.9643265594583657E-3</v>
      </c>
      <c r="I19" s="15">
        <f ca="1"/>
        <v>4.9746223967959968E-3</v>
      </c>
    </row>
    <row r="20" spans="3:9" x14ac:dyDescent="0.35">
      <c r="C20" s="15">
        <f ca="1"/>
        <v>1.2539614092007365</v>
      </c>
      <c r="D20">
        <f ca="1"/>
        <v>5.1111111111111105E-3</v>
      </c>
      <c r="E20" s="2">
        <f ca="1"/>
        <v>45571</v>
      </c>
      <c r="F20" s="15">
        <f ca="1"/>
        <v>0.9749392662210622</v>
      </c>
      <c r="G20" s="15">
        <f ca="1"/>
        <v>4.9830229162409843E-3</v>
      </c>
      <c r="H20" s="15">
        <f ca="1"/>
        <v>-6.2485184381291083E-3</v>
      </c>
      <c r="I20" s="15">
        <f ca="1"/>
        <v>7.8354009860931613E-3</v>
      </c>
    </row>
    <row r="21" spans="3:9" x14ac:dyDescent="0.35">
      <c r="C21" s="15">
        <f ca="1"/>
        <v>1.5058488538436792</v>
      </c>
      <c r="D21">
        <f ca="1"/>
        <v>5.1111111111111105E-3</v>
      </c>
      <c r="E21" s="2">
        <f ca="1"/>
        <v>45663</v>
      </c>
      <c r="F21" s="15">
        <f ca="1"/>
        <v>0.96998149285001578</v>
      </c>
      <c r="G21" s="15">
        <f ca="1"/>
        <v>4.9576831856778577E-3</v>
      </c>
      <c r="H21" s="15">
        <f ca="1"/>
        <v>-7.4655215428730817E-3</v>
      </c>
      <c r="I21" s="15">
        <f ca="1"/>
        <v>1.1241947058680726E-2</v>
      </c>
    </row>
    <row r="22" spans="3:9" x14ac:dyDescent="0.35">
      <c r="C22" s="15">
        <f ca="1"/>
        <v>1.7522604844726448</v>
      </c>
      <c r="D22">
        <f ca="1"/>
        <v>5.0000000000000001E-3</v>
      </c>
      <c r="E22" s="2">
        <f ca="1"/>
        <v>45753</v>
      </c>
      <c r="F22" s="15">
        <f ca="1"/>
        <v>0.96515589324100604</v>
      </c>
      <c r="G22" s="15">
        <f ca="1"/>
        <v>4.82577946620503E-3</v>
      </c>
      <c r="H22" s="15">
        <f ca="1"/>
        <v>-8.4560226654105675E-3</v>
      </c>
      <c r="I22" s="15">
        <f ca="1"/>
        <v>1.4817154372403985E-2</v>
      </c>
    </row>
    <row r="23" spans="3:9" x14ac:dyDescent="0.35">
      <c r="C23" s="15">
        <f ca="1"/>
        <v>2.0014100221085989</v>
      </c>
      <c r="D23">
        <f ca="1"/>
        <v>5.0555555555555553E-3</v>
      </c>
      <c r="E23" s="2">
        <f ca="1"/>
        <v>45843.999988425923</v>
      </c>
      <c r="F23" s="15">
        <f ca="1"/>
        <v>0.96030108407590498</v>
      </c>
      <c r="G23" s="15">
        <f ca="1"/>
        <v>4.8548554806059638E-3</v>
      </c>
      <c r="H23" s="15">
        <f ca="1"/>
        <v>-9.716556414773635E-3</v>
      </c>
      <c r="I23" s="15">
        <f ca="1"/>
        <v>1.9446813388911549E-2</v>
      </c>
    </row>
    <row r="24" spans="3:9" x14ac:dyDescent="0.35">
      <c r="C24" s="15">
        <f ca="1"/>
        <v>2.2532974667515417</v>
      </c>
      <c r="D24">
        <f ca="1"/>
        <v>5.1111111111111105E-3</v>
      </c>
      <c r="E24" s="2">
        <f ca="1"/>
        <v>45936</v>
      </c>
      <c r="F24" s="15">
        <f ca="1"/>
        <v>0.95541774897209653</v>
      </c>
      <c r="G24" s="15">
        <f ca="1"/>
        <v>4.8832462725240484E-3</v>
      </c>
      <c r="H24" s="15">
        <f ca="1"/>
        <v>-1.1003406455402346E-2</v>
      </c>
      <c r="I24" s="15">
        <f ca="1"/>
        <v>2.4793947891595673E-2</v>
      </c>
    </row>
    <row r="25" spans="3:9" x14ac:dyDescent="0.35">
      <c r="C25" s="15">
        <f ca="1"/>
        <v>2.5051849113944846</v>
      </c>
      <c r="D25">
        <f ca="1"/>
        <v>5.1111111111111105E-3</v>
      </c>
      <c r="E25" s="2">
        <f ca="1"/>
        <v>46028</v>
      </c>
      <c r="F25" s="15">
        <f ca="1"/>
        <v>0.95055924666513858</v>
      </c>
      <c r="G25" s="15">
        <f ca="1"/>
        <v>4.858413927399597E-3</v>
      </c>
      <c r="H25" s="15">
        <f ca="1"/>
        <v>-1.2171225264230289E-2</v>
      </c>
      <c r="I25" s="15">
        <f ca="1"/>
        <v>3.049116988513307E-2</v>
      </c>
    </row>
    <row r="26" spans="3:9" x14ac:dyDescent="0.35">
      <c r="C26" s="15">
        <f ca="1"/>
        <v>2.7515965420234503</v>
      </c>
      <c r="D26">
        <f ca="1"/>
        <v>5.0000000000000001E-3</v>
      </c>
      <c r="E26" s="2">
        <f ca="1"/>
        <v>46118</v>
      </c>
      <c r="F26" s="15">
        <f ca="1"/>
        <v>0.94583027156318045</v>
      </c>
      <c r="G26" s="15">
        <f ca="1"/>
        <v>4.7291513578159019E-3</v>
      </c>
      <c r="H26" s="15">
        <f ca="1"/>
        <v>-1.301271652287174E-2</v>
      </c>
      <c r="I26" s="15">
        <f ca="1"/>
        <v>3.5805745786665295E-2</v>
      </c>
    </row>
    <row r="27" spans="3:9" x14ac:dyDescent="0.35">
      <c r="C27" s="15">
        <f ca="1"/>
        <v>3.0007460796594043</v>
      </c>
      <c r="D27">
        <f ca="1"/>
        <v>1.0050555555555556</v>
      </c>
      <c r="E27" s="2">
        <f ca="1"/>
        <v>46209</v>
      </c>
      <c r="F27" s="15">
        <f ca="1"/>
        <v>0.94107267177731002</v>
      </c>
      <c r="G27" s="15">
        <f ca="1"/>
        <v>0.94583031695129538</v>
      </c>
      <c r="H27" s="15">
        <f ca="1"/>
        <v>-2.8381966156146112</v>
      </c>
      <c r="I27" s="15">
        <f ca="1"/>
        <v>8.5167073676081344</v>
      </c>
    </row>
    <row r="28" spans="3:9" x14ac:dyDescent="0.35">
      <c r="C28" s="15"/>
      <c r="E28" s="2"/>
      <c r="F28" s="15"/>
      <c r="G28" s="15"/>
      <c r="H28" s="15"/>
      <c r="I28" s="15"/>
    </row>
    <row r="29" spans="3:9" x14ac:dyDescent="0.35">
      <c r="C29" s="15"/>
      <c r="E29" s="2"/>
      <c r="F29" s="15"/>
      <c r="G29" s="15"/>
      <c r="H29" s="15"/>
      <c r="I29" s="15"/>
    </row>
    <row r="30" spans="3:9" x14ac:dyDescent="0.35">
      <c r="C30" s="15"/>
      <c r="E30" s="2"/>
      <c r="F30" s="15"/>
      <c r="G30" s="15"/>
      <c r="H30" s="15"/>
      <c r="I30" s="15"/>
    </row>
    <row r="31" spans="3:9" x14ac:dyDescent="0.35">
      <c r="C31" s="15"/>
      <c r="E31" s="2"/>
      <c r="F31" s="15"/>
      <c r="G31" s="15"/>
      <c r="H31" s="15"/>
      <c r="I31" s="15"/>
    </row>
    <row r="32" spans="3:9" x14ac:dyDescent="0.35">
      <c r="C32" s="15"/>
      <c r="E32" s="2"/>
      <c r="F32" s="15"/>
      <c r="G32" s="15"/>
      <c r="H32" s="15"/>
      <c r="I32" s="15"/>
    </row>
    <row r="33" spans="3:9" x14ac:dyDescent="0.35">
      <c r="C33" s="15"/>
      <c r="E33" s="2"/>
      <c r="F33" s="15"/>
      <c r="G33" s="15"/>
      <c r="H33" s="15"/>
      <c r="I33" s="15"/>
    </row>
    <row r="34" spans="3:9" x14ac:dyDescent="0.35">
      <c r="C34" s="15"/>
      <c r="E34" s="2"/>
      <c r="F34" s="15"/>
      <c r="G34" s="15"/>
      <c r="H34" s="15"/>
      <c r="I34" s="15"/>
    </row>
    <row r="35" spans="3:9" x14ac:dyDescent="0.35">
      <c r="C35" s="15"/>
      <c r="E35" s="2"/>
      <c r="F35" s="15"/>
      <c r="G35" s="15"/>
      <c r="H35" s="15"/>
      <c r="I35" s="15"/>
    </row>
    <row r="36" spans="3:9" x14ac:dyDescent="0.35">
      <c r="C36" s="15"/>
      <c r="E36" s="2"/>
      <c r="F36" s="15"/>
      <c r="G36" s="15"/>
      <c r="H36" s="15"/>
      <c r="I36" s="15"/>
    </row>
    <row r="37" spans="3:9" x14ac:dyDescent="0.35">
      <c r="C37" s="15"/>
      <c r="E37" s="2"/>
      <c r="F37" s="15"/>
      <c r="G37" s="15"/>
      <c r="H37" s="15"/>
      <c r="I37" s="15"/>
    </row>
    <row r="38" spans="3:9" x14ac:dyDescent="0.35">
      <c r="C38" s="15"/>
      <c r="E38" s="2"/>
      <c r="F38" s="15"/>
      <c r="G38" s="15"/>
      <c r="H38" s="15"/>
      <c r="I38" s="15"/>
    </row>
    <row r="39" spans="3:9" x14ac:dyDescent="0.35">
      <c r="C39" s="15"/>
      <c r="E39" s="2"/>
      <c r="F39" s="15"/>
      <c r="G39" s="15"/>
      <c r="H39" s="15"/>
      <c r="I39" s="15"/>
    </row>
    <row r="40" spans="3:9" x14ac:dyDescent="0.35">
      <c r="C40" s="15"/>
      <c r="E40" s="2"/>
      <c r="F40" s="15"/>
      <c r="G40" s="15"/>
      <c r="H40" s="15"/>
      <c r="I40" s="15"/>
    </row>
    <row r="41" spans="3:9" x14ac:dyDescent="0.35">
      <c r="C41" s="15"/>
      <c r="E41" s="2"/>
      <c r="F41" s="15"/>
      <c r="G41" s="15"/>
      <c r="H41" s="15"/>
      <c r="I41" s="15"/>
    </row>
    <row r="42" spans="3:9" x14ac:dyDescent="0.35">
      <c r="C42" s="15"/>
      <c r="E42" s="2"/>
      <c r="F42" s="15"/>
      <c r="G42" s="15"/>
      <c r="H42" s="15"/>
      <c r="I42" s="15"/>
    </row>
    <row r="43" spans="3:9" x14ac:dyDescent="0.35">
      <c r="C43" s="15"/>
      <c r="E43" s="2"/>
      <c r="F43" s="15"/>
      <c r="G43" s="15"/>
      <c r="H43" s="15"/>
      <c r="I43" s="15"/>
    </row>
    <row r="44" spans="3:9" x14ac:dyDescent="0.35">
      <c r="C44" s="15"/>
      <c r="E44" s="2"/>
      <c r="F44" s="15"/>
      <c r="G44" s="15"/>
      <c r="H44" s="15"/>
      <c r="I44" s="15"/>
    </row>
    <row r="45" spans="3:9" x14ac:dyDescent="0.35">
      <c r="C45" s="15"/>
      <c r="E45" s="2"/>
      <c r="F45" s="15"/>
      <c r="G45" s="15"/>
      <c r="H45" s="15"/>
      <c r="I45" s="15"/>
    </row>
    <row r="46" spans="3:9" x14ac:dyDescent="0.35">
      <c r="C46" s="15"/>
      <c r="E46" s="2"/>
      <c r="F46" s="15"/>
      <c r="G46" s="15"/>
      <c r="H46" s="15"/>
      <c r="I46" s="15"/>
    </row>
    <row r="47" spans="3:9" x14ac:dyDescent="0.35">
      <c r="C47" s="15"/>
      <c r="E47" s="2"/>
      <c r="F47" s="15"/>
      <c r="G47" s="15"/>
      <c r="H47" s="15"/>
      <c r="I47" s="15"/>
    </row>
    <row r="48" spans="3:9" x14ac:dyDescent="0.35">
      <c r="C48" s="15"/>
      <c r="E48" s="2"/>
      <c r="F48" s="15"/>
      <c r="G48" s="15"/>
      <c r="H48" s="15"/>
      <c r="I48" s="15"/>
    </row>
    <row r="49" spans="3:9" x14ac:dyDescent="0.35">
      <c r="C49" s="15"/>
      <c r="E49" s="2"/>
      <c r="F49" s="15"/>
      <c r="G49" s="15"/>
      <c r="H49" s="15"/>
      <c r="I49" s="15"/>
    </row>
    <row r="50" spans="3:9" x14ac:dyDescent="0.35">
      <c r="C50" s="15"/>
      <c r="E50" s="2"/>
      <c r="F50" s="15"/>
      <c r="G50" s="15"/>
      <c r="H50" s="15"/>
      <c r="I50" s="15"/>
    </row>
    <row r="51" spans="3:9" x14ac:dyDescent="0.35">
      <c r="C51" s="15"/>
      <c r="E51" s="2"/>
      <c r="F51" s="15"/>
      <c r="G51" s="15"/>
      <c r="H51" s="15"/>
      <c r="I51" s="15"/>
    </row>
    <row r="52" spans="3:9" x14ac:dyDescent="0.35">
      <c r="C52" s="15"/>
      <c r="E52" s="2"/>
      <c r="F52" s="15"/>
      <c r="G52" s="15"/>
      <c r="H52" s="15"/>
      <c r="I52" s="15"/>
    </row>
    <row r="53" spans="3:9" x14ac:dyDescent="0.35">
      <c r="C53" s="15"/>
      <c r="E53" s="2"/>
      <c r="F53" s="15"/>
      <c r="G53" s="15"/>
      <c r="H53" s="15"/>
      <c r="I53" s="15"/>
    </row>
    <row r="54" spans="3:9" x14ac:dyDescent="0.35">
      <c r="C54" s="15"/>
      <c r="E54" s="2"/>
      <c r="F54" s="15"/>
      <c r="G54" s="15"/>
      <c r="H54" s="15"/>
      <c r="I54" s="15"/>
    </row>
    <row r="55" spans="3:9" x14ac:dyDescent="0.35">
      <c r="C55" s="15"/>
      <c r="E55" s="2"/>
      <c r="F55" s="15"/>
      <c r="G55" s="15"/>
      <c r="H55" s="15"/>
      <c r="I55" s="15"/>
    </row>
    <row r="56" spans="3:9" x14ac:dyDescent="0.35">
      <c r="C56" s="15"/>
      <c r="E56" s="2"/>
      <c r="F56" s="15"/>
      <c r="G56" s="15"/>
      <c r="H56" s="15"/>
      <c r="I56" s="15"/>
    </row>
    <row r="57" spans="3:9" x14ac:dyDescent="0.35">
      <c r="C57" s="15"/>
      <c r="E57" s="2"/>
      <c r="F57" s="15"/>
      <c r="G57" s="15"/>
      <c r="H57" s="15"/>
      <c r="I57" s="15"/>
    </row>
    <row r="58" spans="3:9" x14ac:dyDescent="0.35">
      <c r="C58" s="15"/>
      <c r="E58" s="2"/>
      <c r="F58" s="15"/>
      <c r="G58" s="15"/>
      <c r="H58" s="15"/>
      <c r="I58" s="15"/>
    </row>
    <row r="59" spans="3:9" x14ac:dyDescent="0.35">
      <c r="C59" s="15"/>
      <c r="E59" s="2"/>
      <c r="F59" s="15"/>
      <c r="G59" s="15"/>
      <c r="H59" s="15"/>
      <c r="I59" s="15"/>
    </row>
    <row r="60" spans="3:9" x14ac:dyDescent="0.35">
      <c r="C60" s="15"/>
      <c r="E60" s="2"/>
      <c r="F60" s="15"/>
      <c r="G60" s="15"/>
      <c r="H60" s="15"/>
      <c r="I60" s="15"/>
    </row>
    <row r="61" spans="3:9" x14ac:dyDescent="0.35">
      <c r="C61" s="15"/>
      <c r="E61" s="2"/>
      <c r="F61" s="15"/>
      <c r="G61" s="15"/>
      <c r="H61" s="15"/>
      <c r="I61" s="15"/>
    </row>
    <row r="62" spans="3:9" x14ac:dyDescent="0.35">
      <c r="C62" s="15"/>
      <c r="E62" s="2"/>
      <c r="F62" s="15"/>
      <c r="G62" s="15"/>
      <c r="H62" s="15"/>
      <c r="I62" s="15"/>
    </row>
    <row r="63" spans="3:9" x14ac:dyDescent="0.35">
      <c r="C63" s="15"/>
      <c r="E63" s="2"/>
      <c r="F63" s="15"/>
      <c r="G63" s="15"/>
      <c r="H63" s="15"/>
      <c r="I63" s="15"/>
    </row>
    <row r="64" spans="3:9" x14ac:dyDescent="0.35">
      <c r="C64" s="15"/>
      <c r="E64" s="2"/>
      <c r="F64" s="15"/>
      <c r="G64" s="15"/>
      <c r="H64" s="15"/>
      <c r="I64" s="15"/>
    </row>
    <row r="65" spans="3:9" x14ac:dyDescent="0.35">
      <c r="C65" s="15"/>
      <c r="E65" s="2"/>
      <c r="F65" s="15"/>
      <c r="G65" s="15"/>
      <c r="H65" s="15"/>
      <c r="I65" s="15"/>
    </row>
    <row r="66" spans="3:9" x14ac:dyDescent="0.35">
      <c r="C66" s="15"/>
      <c r="E66" s="2"/>
      <c r="F66" s="15"/>
      <c r="G66" s="15"/>
      <c r="H66" s="15"/>
      <c r="I66" s="15"/>
    </row>
    <row r="67" spans="3:9" x14ac:dyDescent="0.35">
      <c r="C67" s="15"/>
      <c r="E67" s="2"/>
      <c r="F67" s="15"/>
      <c r="G67" s="15"/>
      <c r="H67" s="15"/>
      <c r="I67" s="15"/>
    </row>
    <row r="68" spans="3:9" x14ac:dyDescent="0.35">
      <c r="C68" s="15"/>
      <c r="E68" s="2"/>
      <c r="F68" s="15"/>
      <c r="G68" s="15"/>
      <c r="H68" s="15"/>
      <c r="I68" s="15"/>
    </row>
    <row r="69" spans="3:9" x14ac:dyDescent="0.35">
      <c r="C69" s="15"/>
      <c r="E69" s="2"/>
      <c r="F69" s="15"/>
      <c r="G69" s="15"/>
      <c r="H69" s="15"/>
      <c r="I69" s="15"/>
    </row>
    <row r="70" spans="3:9" x14ac:dyDescent="0.35">
      <c r="C70" s="15"/>
      <c r="E70" s="2"/>
      <c r="F70" s="15"/>
      <c r="G70" s="15"/>
      <c r="H70" s="15"/>
      <c r="I70" s="15"/>
    </row>
    <row r="71" spans="3:9" x14ac:dyDescent="0.35">
      <c r="C71" s="15"/>
      <c r="E71" s="2"/>
      <c r="F71" s="15"/>
      <c r="G71" s="15"/>
      <c r="H71" s="15"/>
      <c r="I71" s="15"/>
    </row>
    <row r="72" spans="3:9" x14ac:dyDescent="0.35">
      <c r="C72" s="15"/>
      <c r="E72" s="2"/>
      <c r="F72" s="15"/>
      <c r="G72" s="15"/>
      <c r="H72" s="15"/>
      <c r="I72" s="15"/>
    </row>
    <row r="73" spans="3:9" x14ac:dyDescent="0.35">
      <c r="C73" s="15"/>
      <c r="E73" s="2"/>
      <c r="F73" s="15"/>
      <c r="G73" s="15"/>
      <c r="H73" s="15"/>
      <c r="I73" s="15"/>
    </row>
    <row r="74" spans="3:9" x14ac:dyDescent="0.35">
      <c r="C74" s="15"/>
      <c r="E74" s="2"/>
      <c r="F74" s="15"/>
      <c r="G74" s="15"/>
      <c r="H74" s="15"/>
      <c r="I74" s="15"/>
    </row>
    <row r="75" spans="3:9" x14ac:dyDescent="0.35">
      <c r="C75" s="15"/>
      <c r="E75" s="2"/>
      <c r="F75" s="15"/>
      <c r="G75" s="15"/>
      <c r="H75" s="15"/>
      <c r="I75" s="15"/>
    </row>
    <row r="76" spans="3:9" x14ac:dyDescent="0.35">
      <c r="C76" s="15"/>
      <c r="E76" s="2"/>
      <c r="F76" s="15"/>
      <c r="G76" s="15"/>
      <c r="H76" s="15"/>
      <c r="I76" s="15"/>
    </row>
    <row r="77" spans="3:9" x14ac:dyDescent="0.35">
      <c r="C77" s="15"/>
      <c r="E77" s="2"/>
      <c r="F77" s="15"/>
      <c r="G77" s="15"/>
      <c r="H77" s="15"/>
      <c r="I77" s="15"/>
    </row>
    <row r="78" spans="3:9" x14ac:dyDescent="0.35">
      <c r="C78" s="15"/>
      <c r="E78" s="2"/>
      <c r="F78" s="15"/>
      <c r="G78" s="15"/>
      <c r="H78" s="15"/>
      <c r="I78" s="15"/>
    </row>
    <row r="79" spans="3:9" x14ac:dyDescent="0.35">
      <c r="C79" s="15"/>
      <c r="E79" s="2"/>
      <c r="F79" s="15"/>
      <c r="G79" s="15"/>
      <c r="H79" s="15"/>
      <c r="I79" s="15"/>
    </row>
    <row r="80" spans="3:9" x14ac:dyDescent="0.35">
      <c r="C80" s="15"/>
      <c r="E80" s="2"/>
      <c r="F80" s="15"/>
      <c r="G80" s="15"/>
      <c r="H80" s="15"/>
      <c r="I80" s="15"/>
    </row>
    <row r="81" spans="3:9" x14ac:dyDescent="0.35">
      <c r="C81" s="15"/>
      <c r="E81" s="2"/>
      <c r="F81" s="15"/>
      <c r="G81" s="15"/>
      <c r="H81" s="15"/>
      <c r="I81" s="15"/>
    </row>
    <row r="82" spans="3:9" x14ac:dyDescent="0.35">
      <c r="C82" s="15"/>
      <c r="E82" s="2"/>
      <c r="F82" s="15"/>
      <c r="G82" s="15"/>
      <c r="H82" s="15"/>
      <c r="I82" s="15"/>
    </row>
    <row r="83" spans="3:9" x14ac:dyDescent="0.35">
      <c r="C83" s="15"/>
      <c r="E83" s="2"/>
      <c r="F83" s="15"/>
      <c r="G83" s="15"/>
      <c r="H83" s="15"/>
      <c r="I83" s="15"/>
    </row>
    <row r="84" spans="3:9" x14ac:dyDescent="0.35">
      <c r="C84" s="15"/>
      <c r="E84" s="2"/>
      <c r="F84" s="15"/>
      <c r="G84" s="15"/>
      <c r="H84" s="15"/>
      <c r="I84" s="15"/>
    </row>
    <row r="85" spans="3:9" x14ac:dyDescent="0.35">
      <c r="C85" s="15"/>
      <c r="E85" s="2"/>
      <c r="F85" s="15"/>
      <c r="G85" s="15"/>
      <c r="H85" s="15"/>
      <c r="I85" s="15"/>
    </row>
    <row r="86" spans="3:9" x14ac:dyDescent="0.35">
      <c r="C86" s="15"/>
      <c r="E86" s="2"/>
      <c r="F86" s="15"/>
      <c r="G86" s="15"/>
      <c r="H86" s="15"/>
      <c r="I86" s="15"/>
    </row>
    <row r="87" spans="3:9" x14ac:dyDescent="0.35">
      <c r="C87" s="15"/>
      <c r="E87" s="2"/>
      <c r="F87" s="15"/>
      <c r="G87" s="15"/>
      <c r="H87" s="15"/>
      <c r="I87" s="15"/>
    </row>
    <row r="88" spans="3:9" x14ac:dyDescent="0.35">
      <c r="C88" s="15"/>
      <c r="E88" s="2"/>
      <c r="F88" s="15"/>
      <c r="G88" s="15"/>
      <c r="H88" s="15"/>
      <c r="I88" s="15"/>
    </row>
    <row r="89" spans="3:9" x14ac:dyDescent="0.35">
      <c r="C89" s="15"/>
      <c r="E89" s="2"/>
      <c r="F89" s="15"/>
      <c r="G89" s="15"/>
      <c r="H89" s="15"/>
      <c r="I89" s="15"/>
    </row>
    <row r="90" spans="3:9" x14ac:dyDescent="0.35">
      <c r="C90" s="15"/>
      <c r="E90" s="2"/>
      <c r="F90" s="15"/>
      <c r="G90" s="15"/>
      <c r="H90" s="15"/>
      <c r="I90" s="15"/>
    </row>
    <row r="91" spans="3:9" x14ac:dyDescent="0.35">
      <c r="C91" s="15"/>
      <c r="E91" s="2"/>
      <c r="F91" s="15"/>
      <c r="G91" s="15"/>
      <c r="H91" s="15"/>
      <c r="I91" s="15"/>
    </row>
    <row r="92" spans="3:9" x14ac:dyDescent="0.35">
      <c r="C92" s="15"/>
      <c r="E92" s="2"/>
      <c r="F92" s="15"/>
      <c r="G92" s="15"/>
      <c r="H92" s="15"/>
      <c r="I92" s="15"/>
    </row>
    <row r="93" spans="3:9" x14ac:dyDescent="0.35">
      <c r="C93" s="15"/>
      <c r="E93" s="2"/>
      <c r="F93" s="15"/>
      <c r="G93" s="15"/>
      <c r="H93" s="15"/>
      <c r="I93" s="15"/>
    </row>
    <row r="94" spans="3:9" x14ac:dyDescent="0.35">
      <c r="C94" s="15"/>
      <c r="E94" s="2"/>
      <c r="F94" s="15"/>
      <c r="G94" s="15"/>
      <c r="H94" s="15"/>
      <c r="I94" s="15"/>
    </row>
    <row r="95" spans="3:9" x14ac:dyDescent="0.35">
      <c r="C95" s="15"/>
      <c r="E95" s="2"/>
      <c r="F95" s="15"/>
      <c r="G95" s="15"/>
      <c r="H95" s="15"/>
      <c r="I95" s="15"/>
    </row>
    <row r="96" spans="3:9" x14ac:dyDescent="0.35">
      <c r="C96" s="15"/>
      <c r="E96" s="2"/>
      <c r="F96" s="15"/>
      <c r="G96" s="15"/>
      <c r="H96" s="15"/>
      <c r="I96" s="15"/>
    </row>
    <row r="97" spans="3:9" x14ac:dyDescent="0.35">
      <c r="C97" s="15"/>
      <c r="E97" s="2"/>
      <c r="F97" s="15"/>
      <c r="G97" s="15"/>
      <c r="H97" s="15"/>
      <c r="I97" s="15"/>
    </row>
    <row r="98" spans="3:9" x14ac:dyDescent="0.35">
      <c r="C98" s="15"/>
      <c r="E98" s="2"/>
      <c r="F98" s="15"/>
      <c r="G98" s="15"/>
      <c r="H98" s="15"/>
      <c r="I98" s="15"/>
    </row>
    <row r="99" spans="3:9" x14ac:dyDescent="0.35">
      <c r="C99" s="15"/>
      <c r="E99" s="2"/>
      <c r="F99" s="15"/>
      <c r="G99" s="15"/>
      <c r="H99" s="15"/>
      <c r="I99" s="15"/>
    </row>
    <row r="100" spans="3:9" x14ac:dyDescent="0.35">
      <c r="C100" s="15"/>
      <c r="E100" s="2"/>
      <c r="F100" s="15"/>
      <c r="G100" s="15"/>
      <c r="H100" s="15"/>
      <c r="I100" s="15"/>
    </row>
    <row r="101" spans="3:9" x14ac:dyDescent="0.35">
      <c r="C101" s="15"/>
      <c r="E101" s="2"/>
      <c r="F101" s="15"/>
      <c r="G101" s="15"/>
      <c r="H101" s="15"/>
      <c r="I101" s="15"/>
    </row>
    <row r="102" spans="3:9" x14ac:dyDescent="0.35">
      <c r="C102" s="15"/>
      <c r="E102" s="2"/>
      <c r="F102" s="15"/>
      <c r="G102" s="15"/>
      <c r="H102" s="15"/>
      <c r="I102" s="15"/>
    </row>
    <row r="103" spans="3:9" x14ac:dyDescent="0.35">
      <c r="C103" s="15"/>
      <c r="E103" s="2"/>
      <c r="F103" s="15"/>
      <c r="G103" s="15"/>
      <c r="H103" s="15"/>
      <c r="I103" s="15"/>
    </row>
    <row r="104" spans="3:9" x14ac:dyDescent="0.35">
      <c r="C104" s="15"/>
      <c r="E104" s="2"/>
      <c r="F104" s="15"/>
      <c r="G104" s="15"/>
      <c r="H104" s="15"/>
      <c r="I104" s="15"/>
    </row>
    <row r="105" spans="3:9" x14ac:dyDescent="0.35">
      <c r="C105" s="15"/>
      <c r="E105" s="2"/>
      <c r="F105" s="15"/>
      <c r="G105" s="15"/>
      <c r="H105" s="15"/>
      <c r="I105" s="15"/>
    </row>
    <row r="106" spans="3:9" x14ac:dyDescent="0.35">
      <c r="C106" s="15"/>
      <c r="E106" s="2"/>
      <c r="F106" s="15"/>
      <c r="G106" s="15"/>
      <c r="H106" s="15"/>
      <c r="I106" s="15"/>
    </row>
    <row r="107" spans="3:9" x14ac:dyDescent="0.35">
      <c r="C107" s="15"/>
      <c r="E107" s="2"/>
      <c r="F107" s="15"/>
      <c r="G107" s="15"/>
      <c r="H107" s="15"/>
      <c r="I107" s="15"/>
    </row>
    <row r="108" spans="3:9" x14ac:dyDescent="0.35">
      <c r="C108" s="15"/>
      <c r="E108" s="2"/>
      <c r="F108" s="15"/>
      <c r="G108" s="15"/>
      <c r="H108" s="15"/>
      <c r="I108" s="15"/>
    </row>
    <row r="109" spans="3:9" x14ac:dyDescent="0.35">
      <c r="C109" s="15"/>
      <c r="E109" s="2"/>
      <c r="F109" s="15"/>
      <c r="G109" s="15"/>
      <c r="H109" s="15"/>
      <c r="I109" s="15"/>
    </row>
    <row r="110" spans="3:9" x14ac:dyDescent="0.35">
      <c r="C110" s="15"/>
      <c r="E110" s="2"/>
      <c r="G110" s="2"/>
    </row>
    <row r="111" spans="3:9" x14ac:dyDescent="0.35">
      <c r="C111" s="15"/>
      <c r="E111" s="2"/>
      <c r="G111" s="2"/>
    </row>
    <row r="112" spans="3:9" x14ac:dyDescent="0.35">
      <c r="C112" s="15"/>
      <c r="E112" s="2"/>
      <c r="G112" s="2"/>
    </row>
    <row r="113" spans="3:7" x14ac:dyDescent="0.35">
      <c r="C113" s="15"/>
      <c r="E113" s="2"/>
      <c r="G113" s="2"/>
    </row>
    <row r="114" spans="3:7" x14ac:dyDescent="0.35">
      <c r="C114" s="15"/>
      <c r="E114" s="2"/>
      <c r="G114" s="2"/>
    </row>
    <row r="115" spans="3:7" x14ac:dyDescent="0.35">
      <c r="C115" s="15"/>
      <c r="E115" s="2"/>
      <c r="G115" s="2"/>
    </row>
    <row r="116" spans="3:7" x14ac:dyDescent="0.35">
      <c r="C116" s="15"/>
      <c r="E116" s="2"/>
      <c r="G116" s="2"/>
    </row>
    <row r="117" spans="3:7" x14ac:dyDescent="0.35">
      <c r="C117" s="15"/>
      <c r="E117" s="2"/>
      <c r="G117" s="2"/>
    </row>
    <row r="118" spans="3:7" x14ac:dyDescent="0.35">
      <c r="C118" s="15"/>
      <c r="E118" s="2"/>
      <c r="G118" s="2"/>
    </row>
    <row r="119" spans="3:7" x14ac:dyDescent="0.35">
      <c r="C119" s="15"/>
      <c r="E119" s="2"/>
      <c r="G119" s="2"/>
    </row>
    <row r="120" spans="3:7" x14ac:dyDescent="0.35">
      <c r="C120" s="15"/>
      <c r="E120" s="2"/>
      <c r="G120" s="2"/>
    </row>
    <row r="121" spans="3:7" x14ac:dyDescent="0.35">
      <c r="C121" s="15"/>
      <c r="E121" s="2"/>
      <c r="G121" s="2"/>
    </row>
    <row r="122" spans="3:7" x14ac:dyDescent="0.35">
      <c r="C122" s="15"/>
      <c r="E122" s="2"/>
      <c r="G122" s="2"/>
    </row>
    <row r="123" spans="3:7" x14ac:dyDescent="0.35">
      <c r="C123" s="15"/>
      <c r="E123" s="2"/>
      <c r="G123" s="2"/>
    </row>
    <row r="124" spans="3:7" x14ac:dyDescent="0.35">
      <c r="C124" s="15"/>
      <c r="E124" s="2"/>
      <c r="G124" s="2"/>
    </row>
    <row r="125" spans="3:7" x14ac:dyDescent="0.35">
      <c r="C125" s="15"/>
      <c r="E125" s="2"/>
      <c r="G125" s="2"/>
    </row>
    <row r="126" spans="3:7" x14ac:dyDescent="0.35">
      <c r="C126" s="15"/>
      <c r="E126" s="2"/>
      <c r="G126" s="2"/>
    </row>
    <row r="127" spans="3:7" x14ac:dyDescent="0.35">
      <c r="C127" s="15"/>
      <c r="E127" s="2"/>
      <c r="G127" s="2"/>
    </row>
    <row r="128" spans="3:7" x14ac:dyDescent="0.35">
      <c r="C128" s="15"/>
      <c r="E128" s="2"/>
      <c r="G128" s="2"/>
    </row>
    <row r="129" spans="3:7" x14ac:dyDescent="0.35">
      <c r="C129" s="15"/>
      <c r="E129" s="2"/>
      <c r="G129" s="2"/>
    </row>
    <row r="130" spans="3:7" x14ac:dyDescent="0.35">
      <c r="C130" s="15"/>
      <c r="E130" s="2"/>
      <c r="G130" s="2"/>
    </row>
    <row r="131" spans="3:7" x14ac:dyDescent="0.35">
      <c r="C131" s="15"/>
      <c r="E131" s="2"/>
      <c r="G131" s="2"/>
    </row>
    <row r="132" spans="3:7" x14ac:dyDescent="0.35">
      <c r="C132" s="15"/>
      <c r="E132" s="2"/>
      <c r="G132" s="2"/>
    </row>
    <row r="133" spans="3:7" x14ac:dyDescent="0.35">
      <c r="C133" s="15"/>
      <c r="E133" s="2"/>
      <c r="G133" s="2"/>
    </row>
    <row r="134" spans="3:7" x14ac:dyDescent="0.35">
      <c r="C134" s="15"/>
      <c r="E134" s="2"/>
      <c r="G134" s="2"/>
    </row>
    <row r="135" spans="3:7" x14ac:dyDescent="0.35">
      <c r="C135" s="15"/>
      <c r="E135" s="2"/>
      <c r="G135" s="2"/>
    </row>
    <row r="136" spans="3:7" x14ac:dyDescent="0.35">
      <c r="C136" s="15"/>
      <c r="E136" s="2"/>
      <c r="G136" s="2"/>
    </row>
    <row r="137" spans="3:7" x14ac:dyDescent="0.35">
      <c r="C137" s="15"/>
      <c r="E137" s="2"/>
      <c r="G137" s="2"/>
    </row>
    <row r="138" spans="3:7" x14ac:dyDescent="0.35">
      <c r="C138" s="15"/>
      <c r="E138" s="2"/>
      <c r="G138" s="2"/>
    </row>
    <row r="139" spans="3:7" x14ac:dyDescent="0.35">
      <c r="C139" s="15"/>
      <c r="E139" s="2"/>
      <c r="G139" s="2"/>
    </row>
    <row r="140" spans="3:7" x14ac:dyDescent="0.35">
      <c r="C140" s="15"/>
      <c r="E140" s="2"/>
      <c r="G140" s="2"/>
    </row>
    <row r="141" spans="3:7" x14ac:dyDescent="0.35">
      <c r="C141" s="15"/>
      <c r="E141" s="2"/>
      <c r="G141" s="2"/>
    </row>
    <row r="142" spans="3:7" x14ac:dyDescent="0.35">
      <c r="C142" s="15"/>
      <c r="E142" s="2"/>
      <c r="G142" s="2"/>
    </row>
    <row r="143" spans="3:7" x14ac:dyDescent="0.35">
      <c r="C143" s="15"/>
      <c r="E143" s="2"/>
      <c r="G143" s="2"/>
    </row>
    <row r="144" spans="3:7" x14ac:dyDescent="0.35">
      <c r="C144" s="15"/>
      <c r="E144" s="2"/>
      <c r="G144" s="2"/>
    </row>
    <row r="145" spans="3:7" x14ac:dyDescent="0.35">
      <c r="C145" s="15"/>
      <c r="E145" s="2"/>
      <c r="G145" s="2"/>
    </row>
    <row r="146" spans="3:7" x14ac:dyDescent="0.35">
      <c r="C146" s="15"/>
      <c r="E146" s="2"/>
      <c r="G146" s="2"/>
    </row>
    <row r="147" spans="3:7" x14ac:dyDescent="0.35">
      <c r="C147" s="15"/>
      <c r="E147" s="2"/>
      <c r="G147" s="2"/>
    </row>
    <row r="148" spans="3:7" x14ac:dyDescent="0.35">
      <c r="C148" s="15"/>
      <c r="E148" s="2"/>
      <c r="G148" s="2"/>
    </row>
    <row r="149" spans="3:7" x14ac:dyDescent="0.35">
      <c r="C149" s="15"/>
      <c r="E149" s="2"/>
      <c r="G149" s="2"/>
    </row>
    <row r="150" spans="3:7" x14ac:dyDescent="0.35">
      <c r="C150" s="15"/>
      <c r="E150" s="2"/>
      <c r="G150" s="2"/>
    </row>
    <row r="151" spans="3:7" x14ac:dyDescent="0.35">
      <c r="C151" s="15"/>
      <c r="E151" s="2"/>
      <c r="G151" s="2"/>
    </row>
    <row r="152" spans="3:7" x14ac:dyDescent="0.35">
      <c r="C152" s="15"/>
      <c r="E152" s="2"/>
      <c r="G152" s="2"/>
    </row>
    <row r="153" spans="3:7" x14ac:dyDescent="0.35">
      <c r="C153" s="15"/>
      <c r="E153" s="2"/>
      <c r="G153" s="2"/>
    </row>
    <row r="154" spans="3:7" x14ac:dyDescent="0.35">
      <c r="C154" s="15"/>
      <c r="E154" s="2"/>
      <c r="G154" s="2"/>
    </row>
    <row r="155" spans="3:7" x14ac:dyDescent="0.35">
      <c r="C155" s="15"/>
      <c r="E155" s="2"/>
      <c r="G155" s="2"/>
    </row>
    <row r="156" spans="3:7" x14ac:dyDescent="0.35">
      <c r="C156" s="15"/>
      <c r="E156" s="2"/>
      <c r="G156" s="2"/>
    </row>
    <row r="157" spans="3:7" x14ac:dyDescent="0.35">
      <c r="C157" s="15"/>
      <c r="E157" s="2"/>
      <c r="G157" s="2"/>
    </row>
    <row r="158" spans="3:7" x14ac:dyDescent="0.35">
      <c r="C158" s="15"/>
      <c r="E158" s="2"/>
      <c r="G158" s="2"/>
    </row>
    <row r="159" spans="3:7" x14ac:dyDescent="0.35">
      <c r="C159" s="15"/>
      <c r="E159" s="2"/>
      <c r="G159" s="2"/>
    </row>
    <row r="160" spans="3:7" x14ac:dyDescent="0.35">
      <c r="C160" s="15"/>
      <c r="E160" s="2"/>
      <c r="G160" s="2"/>
    </row>
    <row r="161" spans="3:7" x14ac:dyDescent="0.35">
      <c r="C161" s="15"/>
      <c r="E161" s="2"/>
      <c r="G161" s="2"/>
    </row>
    <row r="162" spans="3:7" x14ac:dyDescent="0.35">
      <c r="C162" s="15"/>
      <c r="E162" s="2"/>
      <c r="G162" s="2"/>
    </row>
    <row r="163" spans="3:7" x14ac:dyDescent="0.35">
      <c r="C163" s="15"/>
      <c r="E163" s="2"/>
      <c r="G163" s="2"/>
    </row>
    <row r="164" spans="3:7" x14ac:dyDescent="0.35">
      <c r="C164" s="15"/>
      <c r="E164" s="2"/>
      <c r="G164" s="2"/>
    </row>
    <row r="165" spans="3:7" x14ac:dyDescent="0.35">
      <c r="C165" s="15"/>
      <c r="E165" s="2"/>
      <c r="G165" s="2"/>
    </row>
    <row r="166" spans="3:7" x14ac:dyDescent="0.35">
      <c r="C166" s="15"/>
      <c r="E166" s="2"/>
      <c r="G166" s="2"/>
    </row>
    <row r="167" spans="3:7" x14ac:dyDescent="0.35">
      <c r="C167" s="15"/>
      <c r="E167" s="2"/>
      <c r="G167" s="2"/>
    </row>
    <row r="168" spans="3:7" x14ac:dyDescent="0.35">
      <c r="C168" s="15"/>
      <c r="E168" s="2"/>
      <c r="G168" s="2"/>
    </row>
    <row r="169" spans="3:7" x14ac:dyDescent="0.35">
      <c r="C169" s="15"/>
      <c r="E169" s="2"/>
      <c r="G169" s="2"/>
    </row>
    <row r="170" spans="3:7" x14ac:dyDescent="0.35">
      <c r="C170" s="15"/>
      <c r="E170" s="2"/>
      <c r="G170" s="2"/>
    </row>
    <row r="171" spans="3:7" x14ac:dyDescent="0.35">
      <c r="C171" s="15"/>
      <c r="E171" s="2"/>
      <c r="G171" s="2"/>
    </row>
    <row r="172" spans="3:7" x14ac:dyDescent="0.35">
      <c r="C172" s="15"/>
      <c r="E172" s="2"/>
      <c r="G172" s="2"/>
    </row>
    <row r="173" spans="3:7" x14ac:dyDescent="0.35">
      <c r="C173" s="15"/>
      <c r="E173" s="2"/>
      <c r="G173" s="2"/>
    </row>
    <row r="174" spans="3:7" x14ac:dyDescent="0.35">
      <c r="C174" s="15"/>
      <c r="E174" s="2"/>
      <c r="G174" s="2"/>
    </row>
    <row r="175" spans="3:7" x14ac:dyDescent="0.35">
      <c r="C175" s="15"/>
      <c r="E175" s="2"/>
      <c r="G175" s="2"/>
    </row>
    <row r="176" spans="3:7" x14ac:dyDescent="0.35">
      <c r="C176" s="15"/>
      <c r="E176" s="2"/>
      <c r="G176" s="2"/>
    </row>
    <row r="177" spans="3:7" x14ac:dyDescent="0.35">
      <c r="C177" s="15"/>
      <c r="E177" s="2"/>
      <c r="G177" s="2"/>
    </row>
    <row r="178" spans="3:7" x14ac:dyDescent="0.35">
      <c r="C178" s="15"/>
      <c r="E178" s="2"/>
      <c r="G178" s="2"/>
    </row>
    <row r="179" spans="3:7" x14ac:dyDescent="0.35">
      <c r="C179" s="15"/>
      <c r="E179" s="2"/>
      <c r="G179" s="2"/>
    </row>
    <row r="180" spans="3:7" x14ac:dyDescent="0.35">
      <c r="C180" s="15"/>
      <c r="E180" s="2"/>
      <c r="G180" s="2"/>
    </row>
    <row r="181" spans="3:7" x14ac:dyDescent="0.35">
      <c r="C181" s="15"/>
      <c r="E181" s="2"/>
      <c r="G181" s="2"/>
    </row>
    <row r="182" spans="3:7" x14ac:dyDescent="0.35">
      <c r="C182" s="15"/>
      <c r="E182" s="2"/>
      <c r="G182" s="2"/>
    </row>
    <row r="183" spans="3:7" x14ac:dyDescent="0.35">
      <c r="C183" s="15"/>
      <c r="E183" s="2"/>
      <c r="G183" s="2"/>
    </row>
    <row r="184" spans="3:7" x14ac:dyDescent="0.35">
      <c r="C184" s="15"/>
      <c r="E184" s="2"/>
      <c r="G184" s="2"/>
    </row>
    <row r="185" spans="3:7" x14ac:dyDescent="0.35">
      <c r="C185" s="15"/>
      <c r="E185" s="2"/>
      <c r="G185" s="2"/>
    </row>
    <row r="186" spans="3:7" x14ac:dyDescent="0.35">
      <c r="C186" s="15"/>
      <c r="E186" s="2"/>
      <c r="G186" s="2"/>
    </row>
    <row r="187" spans="3:7" x14ac:dyDescent="0.35">
      <c r="C187" s="15"/>
      <c r="E187" s="2"/>
      <c r="G187" s="2"/>
    </row>
    <row r="188" spans="3:7" x14ac:dyDescent="0.35">
      <c r="C188" s="15"/>
      <c r="E188" s="2"/>
      <c r="G188" s="2"/>
    </row>
    <row r="189" spans="3:7" x14ac:dyDescent="0.35">
      <c r="C189" s="15"/>
      <c r="E189" s="2"/>
      <c r="G189" s="2"/>
    </row>
    <row r="190" spans="3:7" x14ac:dyDescent="0.35">
      <c r="C190" s="15"/>
      <c r="E190" s="2"/>
      <c r="G190" s="2"/>
    </row>
    <row r="191" spans="3:7" x14ac:dyDescent="0.35">
      <c r="C191" s="15"/>
      <c r="E191" s="2"/>
      <c r="G191" s="2"/>
    </row>
    <row r="192" spans="3:7" x14ac:dyDescent="0.35">
      <c r="C192" s="15"/>
      <c r="E192" s="2"/>
      <c r="G192" s="2"/>
    </row>
    <row r="193" spans="3:7" x14ac:dyDescent="0.35">
      <c r="C193" s="15"/>
      <c r="E193" s="2"/>
      <c r="G193" s="2"/>
    </row>
    <row r="194" spans="3:7" x14ac:dyDescent="0.35">
      <c r="C194" s="15"/>
      <c r="E194" s="2"/>
      <c r="G194" s="2"/>
    </row>
    <row r="195" spans="3:7" x14ac:dyDescent="0.35">
      <c r="C195" s="15"/>
      <c r="E195" s="2"/>
      <c r="G195" s="2"/>
    </row>
    <row r="196" spans="3:7" x14ac:dyDescent="0.35">
      <c r="C196" s="15"/>
      <c r="E196" s="2"/>
      <c r="G196" s="2"/>
    </row>
    <row r="197" spans="3:7" x14ac:dyDescent="0.35">
      <c r="C197" s="15"/>
      <c r="E197" s="2"/>
      <c r="G197" s="2"/>
    </row>
    <row r="198" spans="3:7" x14ac:dyDescent="0.35">
      <c r="C198" s="15"/>
      <c r="E198" s="2"/>
      <c r="G198" s="2"/>
    </row>
    <row r="199" spans="3:7" x14ac:dyDescent="0.35">
      <c r="C199" s="15"/>
      <c r="E199" s="2"/>
      <c r="G199" s="2"/>
    </row>
    <row r="200" spans="3:7" x14ac:dyDescent="0.35">
      <c r="C200" s="15"/>
      <c r="E200" s="2"/>
      <c r="G200" s="2"/>
    </row>
    <row r="201" spans="3:7" x14ac:dyDescent="0.35">
      <c r="C201" s="15"/>
      <c r="E201" s="2"/>
      <c r="G201" s="2"/>
    </row>
    <row r="202" spans="3:7" x14ac:dyDescent="0.35">
      <c r="C202" s="15"/>
      <c r="E202" s="2"/>
      <c r="G202" s="2"/>
    </row>
    <row r="203" spans="3:7" x14ac:dyDescent="0.35">
      <c r="C203" s="15"/>
      <c r="E203" s="2"/>
      <c r="G203" s="2"/>
    </row>
    <row r="204" spans="3:7" x14ac:dyDescent="0.35">
      <c r="C204" s="15"/>
      <c r="E204" s="2"/>
      <c r="G204" s="2"/>
    </row>
    <row r="205" spans="3:7" x14ac:dyDescent="0.35">
      <c r="C205" s="15"/>
      <c r="E205" s="2"/>
      <c r="G205" s="2"/>
    </row>
    <row r="206" spans="3:7" x14ac:dyDescent="0.35">
      <c r="C206" s="15"/>
      <c r="E206" s="2"/>
      <c r="G206" s="2"/>
    </row>
    <row r="207" spans="3:7" x14ac:dyDescent="0.35">
      <c r="C207" s="15"/>
      <c r="E207" s="2"/>
      <c r="G207" s="2"/>
    </row>
    <row r="208" spans="3:7" x14ac:dyDescent="0.35">
      <c r="C208" s="15"/>
      <c r="E208" s="2"/>
      <c r="G208" s="2"/>
    </row>
    <row r="209" spans="3:7" x14ac:dyDescent="0.35">
      <c r="C209" s="15"/>
      <c r="E209" s="2"/>
      <c r="G209" s="2"/>
    </row>
    <row r="210" spans="3:7" x14ac:dyDescent="0.35">
      <c r="C210" s="15"/>
      <c r="E210" s="2"/>
      <c r="G210" s="2"/>
    </row>
    <row r="211" spans="3:7" x14ac:dyDescent="0.35">
      <c r="C211" s="15"/>
      <c r="E211" s="2"/>
      <c r="G211" s="2"/>
    </row>
    <row r="212" spans="3:7" x14ac:dyDescent="0.35">
      <c r="C212" s="15"/>
      <c r="E212" s="2"/>
      <c r="G212" s="2"/>
    </row>
    <row r="213" spans="3:7" x14ac:dyDescent="0.35">
      <c r="C213" s="15"/>
      <c r="E213" s="2"/>
      <c r="G213" s="2"/>
    </row>
    <row r="214" spans="3:7" x14ac:dyDescent="0.35">
      <c r="C214" s="15"/>
      <c r="E214" s="2"/>
      <c r="G214" s="2"/>
    </row>
    <row r="215" spans="3:7" x14ac:dyDescent="0.35">
      <c r="C215" s="15"/>
      <c r="E215" s="2"/>
      <c r="G215" s="2"/>
    </row>
    <row r="216" spans="3:7" x14ac:dyDescent="0.35">
      <c r="C216" s="15"/>
      <c r="E216" s="2"/>
      <c r="G216" s="2"/>
    </row>
    <row r="217" spans="3:7" x14ac:dyDescent="0.35">
      <c r="C217" s="15"/>
      <c r="E217" s="2"/>
      <c r="G217" s="2"/>
    </row>
    <row r="218" spans="3:7" x14ac:dyDescent="0.35">
      <c r="C218" s="15"/>
      <c r="E218" s="2"/>
      <c r="G218" s="2"/>
    </row>
    <row r="219" spans="3:7" x14ac:dyDescent="0.35">
      <c r="C219" s="15"/>
      <c r="E219" s="2"/>
      <c r="G219" s="2"/>
    </row>
    <row r="220" spans="3:7" x14ac:dyDescent="0.35">
      <c r="C220" s="15"/>
      <c r="E220" s="2"/>
      <c r="G220" s="2"/>
    </row>
    <row r="221" spans="3:7" x14ac:dyDescent="0.35">
      <c r="C221" s="15"/>
      <c r="E221" s="2"/>
      <c r="G221" s="2"/>
    </row>
    <row r="222" spans="3:7" x14ac:dyDescent="0.35">
      <c r="C222" s="15"/>
      <c r="E222" s="2"/>
      <c r="G222" s="2"/>
    </row>
    <row r="223" spans="3:7" x14ac:dyDescent="0.35">
      <c r="C223" s="15"/>
      <c r="E223" s="2"/>
      <c r="G223" s="2"/>
    </row>
    <row r="224" spans="3:7" x14ac:dyDescent="0.35">
      <c r="C224" s="15"/>
      <c r="E224" s="2"/>
      <c r="G224" s="2"/>
    </row>
    <row r="225" spans="3:7" x14ac:dyDescent="0.35">
      <c r="C225" s="15"/>
      <c r="E225" s="2"/>
      <c r="G225" s="2"/>
    </row>
    <row r="226" spans="3:7" x14ac:dyDescent="0.35">
      <c r="C226" s="15"/>
      <c r="E226" s="2"/>
      <c r="G226" s="2"/>
    </row>
    <row r="227" spans="3:7" x14ac:dyDescent="0.35">
      <c r="C227" s="15"/>
      <c r="E227" s="2"/>
      <c r="G227" s="2"/>
    </row>
    <row r="228" spans="3:7" x14ac:dyDescent="0.35">
      <c r="C228" s="15"/>
      <c r="E228" s="2"/>
      <c r="G228" s="2"/>
    </row>
    <row r="229" spans="3:7" x14ac:dyDescent="0.35">
      <c r="C229" s="15"/>
      <c r="E229" s="2"/>
      <c r="G229" s="2"/>
    </row>
    <row r="230" spans="3:7" x14ac:dyDescent="0.35">
      <c r="C230" s="15"/>
      <c r="E230" s="2"/>
      <c r="G230" s="2"/>
    </row>
    <row r="231" spans="3:7" x14ac:dyDescent="0.35">
      <c r="C231" s="15"/>
      <c r="E231" s="2"/>
      <c r="G231" s="2"/>
    </row>
    <row r="232" spans="3:7" x14ac:dyDescent="0.35">
      <c r="C232" s="15"/>
      <c r="E232" s="2"/>
      <c r="G232" s="2"/>
    </row>
    <row r="233" spans="3:7" x14ac:dyDescent="0.35">
      <c r="C233" s="15"/>
      <c r="E233" s="2"/>
      <c r="G233" s="2"/>
    </row>
    <row r="234" spans="3:7" x14ac:dyDescent="0.35">
      <c r="C234" s="15"/>
      <c r="E234" s="2"/>
      <c r="G234" s="2"/>
    </row>
    <row r="235" spans="3:7" x14ac:dyDescent="0.35">
      <c r="C235" s="15"/>
      <c r="E235" s="2"/>
      <c r="G235" s="2"/>
    </row>
    <row r="236" spans="3:7" x14ac:dyDescent="0.35">
      <c r="C236" s="15"/>
      <c r="E236" s="2"/>
      <c r="G236" s="2"/>
    </row>
    <row r="237" spans="3:7" x14ac:dyDescent="0.35">
      <c r="C237" s="15"/>
      <c r="E237" s="2"/>
      <c r="G237" s="2"/>
    </row>
    <row r="238" spans="3:7" x14ac:dyDescent="0.35">
      <c r="C238" s="15"/>
      <c r="E238" s="2"/>
      <c r="G238" s="2"/>
    </row>
    <row r="239" spans="3:7" x14ac:dyDescent="0.35">
      <c r="C239" s="15"/>
      <c r="E239" s="2"/>
      <c r="G239" s="2"/>
    </row>
    <row r="240" spans="3:7" x14ac:dyDescent="0.35">
      <c r="C240" s="15"/>
      <c r="E240" s="2"/>
      <c r="G240" s="2"/>
    </row>
    <row r="241" spans="3:7" x14ac:dyDescent="0.35">
      <c r="C241" s="15"/>
      <c r="E241" s="2"/>
      <c r="G241" s="2"/>
    </row>
    <row r="242" spans="3:7" x14ac:dyDescent="0.35">
      <c r="C242" s="15"/>
      <c r="E242" s="2"/>
      <c r="G242" s="2"/>
    </row>
    <row r="243" spans="3:7" x14ac:dyDescent="0.35">
      <c r="C243" s="15"/>
      <c r="E243" s="2"/>
      <c r="G243" s="2"/>
    </row>
    <row r="244" spans="3:7" x14ac:dyDescent="0.35">
      <c r="C244" s="15"/>
      <c r="E244" s="2"/>
      <c r="G244" s="2"/>
    </row>
    <row r="245" spans="3:7" x14ac:dyDescent="0.35">
      <c r="C245" s="15"/>
      <c r="E245" s="2"/>
      <c r="G245" s="2"/>
    </row>
    <row r="246" spans="3:7" x14ac:dyDescent="0.35">
      <c r="C246" s="15"/>
      <c r="E246" s="2"/>
      <c r="G246" s="2"/>
    </row>
    <row r="247" spans="3:7" x14ac:dyDescent="0.35">
      <c r="C247" s="15"/>
      <c r="E247" s="2"/>
      <c r="G247" s="2"/>
    </row>
    <row r="248" spans="3:7" x14ac:dyDescent="0.35">
      <c r="C248" s="15"/>
      <c r="E248" s="2"/>
      <c r="G248" s="2"/>
    </row>
    <row r="249" spans="3:7" x14ac:dyDescent="0.35">
      <c r="C249" s="15"/>
      <c r="E249" s="2"/>
      <c r="G249" s="2"/>
    </row>
    <row r="250" spans="3:7" x14ac:dyDescent="0.35">
      <c r="C250" s="15"/>
      <c r="E250" s="2"/>
      <c r="G250" s="2"/>
    </row>
    <row r="251" spans="3:7" x14ac:dyDescent="0.35">
      <c r="C251" s="15"/>
      <c r="E251" s="2"/>
      <c r="G251" s="2"/>
    </row>
    <row r="252" spans="3:7" x14ac:dyDescent="0.35">
      <c r="C252" s="15"/>
      <c r="E252" s="2"/>
      <c r="G252" s="2"/>
    </row>
    <row r="253" spans="3:7" x14ac:dyDescent="0.35">
      <c r="C253" s="15"/>
      <c r="E253" s="2"/>
      <c r="G253" s="2"/>
    </row>
    <row r="254" spans="3:7" x14ac:dyDescent="0.35">
      <c r="C254" s="15"/>
      <c r="E254" s="2"/>
      <c r="G254" s="2"/>
    </row>
    <row r="255" spans="3:7" x14ac:dyDescent="0.35">
      <c r="C255" s="15"/>
      <c r="E255" s="2"/>
      <c r="G255" s="2"/>
    </row>
    <row r="256" spans="3:7" x14ac:dyDescent="0.35">
      <c r="C256" s="15"/>
      <c r="E256" s="2"/>
      <c r="G256" s="2"/>
    </row>
    <row r="257" spans="3:7" x14ac:dyDescent="0.35">
      <c r="C257" s="15"/>
      <c r="E257" s="2"/>
      <c r="G257" s="2"/>
    </row>
    <row r="258" spans="3:7" x14ac:dyDescent="0.35">
      <c r="C258" s="15"/>
      <c r="E258" s="2"/>
      <c r="G258" s="2"/>
    </row>
    <row r="259" spans="3:7" x14ac:dyDescent="0.35">
      <c r="C259" s="15"/>
      <c r="E259" s="2"/>
      <c r="G259" s="2"/>
    </row>
    <row r="260" spans="3:7" x14ac:dyDescent="0.35">
      <c r="C260" s="15"/>
      <c r="E260" s="2"/>
      <c r="G260" s="2"/>
    </row>
    <row r="261" spans="3:7" x14ac:dyDescent="0.35">
      <c r="C261" s="15"/>
      <c r="E261" s="2"/>
      <c r="G261" s="2"/>
    </row>
    <row r="262" spans="3:7" x14ac:dyDescent="0.35">
      <c r="C262" s="15"/>
      <c r="E262" s="2"/>
      <c r="G262" s="2"/>
    </row>
    <row r="263" spans="3:7" x14ac:dyDescent="0.35">
      <c r="C263" s="15"/>
      <c r="E263" s="2"/>
      <c r="G263" s="2"/>
    </row>
    <row r="264" spans="3:7" x14ac:dyDescent="0.35">
      <c r="C264" s="15"/>
      <c r="E264" s="2"/>
      <c r="G264" s="2"/>
    </row>
    <row r="265" spans="3:7" x14ac:dyDescent="0.35">
      <c r="C265" s="15"/>
      <c r="E265" s="2"/>
      <c r="G265" s="2"/>
    </row>
    <row r="266" spans="3:7" x14ac:dyDescent="0.35">
      <c r="C266" s="15"/>
      <c r="E266" s="2"/>
      <c r="G266" s="2"/>
    </row>
    <row r="267" spans="3:7" x14ac:dyDescent="0.35">
      <c r="C267" s="15"/>
      <c r="E267" s="2"/>
      <c r="G267" s="2"/>
    </row>
    <row r="268" spans="3:7" x14ac:dyDescent="0.35">
      <c r="C268" s="15"/>
      <c r="E268" s="2"/>
      <c r="G268" s="2"/>
    </row>
    <row r="269" spans="3:7" x14ac:dyDescent="0.35">
      <c r="C269" s="15"/>
      <c r="E269" s="2"/>
      <c r="G269" s="2"/>
    </row>
    <row r="270" spans="3:7" x14ac:dyDescent="0.35">
      <c r="C270" s="15"/>
      <c r="E270" s="2"/>
      <c r="G270" s="2"/>
    </row>
    <row r="271" spans="3:7" x14ac:dyDescent="0.35">
      <c r="C271" s="15"/>
      <c r="E271" s="2"/>
      <c r="G271" s="2"/>
    </row>
    <row r="272" spans="3:7" x14ac:dyDescent="0.35">
      <c r="C272" s="15"/>
      <c r="E272" s="2"/>
      <c r="G272" s="2"/>
    </row>
    <row r="273" spans="3:7" x14ac:dyDescent="0.35">
      <c r="C273" s="15"/>
      <c r="E273" s="2"/>
      <c r="G273" s="2"/>
    </row>
    <row r="274" spans="3:7" x14ac:dyDescent="0.35">
      <c r="C274" s="15"/>
      <c r="E274" s="2"/>
      <c r="G274" s="2"/>
    </row>
    <row r="275" spans="3:7" x14ac:dyDescent="0.35">
      <c r="C275" s="15"/>
      <c r="E275" s="2"/>
      <c r="G275" s="2"/>
    </row>
    <row r="276" spans="3:7" x14ac:dyDescent="0.35">
      <c r="C276" s="15"/>
      <c r="E276" s="2"/>
      <c r="G276" s="2"/>
    </row>
    <row r="277" spans="3:7" x14ac:dyDescent="0.35">
      <c r="C277" s="15"/>
      <c r="E277" s="2"/>
      <c r="G277" s="2"/>
    </row>
    <row r="278" spans="3:7" x14ac:dyDescent="0.35">
      <c r="C278" s="15"/>
      <c r="E278" s="2"/>
      <c r="G278" s="2"/>
    </row>
    <row r="279" spans="3:7" x14ac:dyDescent="0.35">
      <c r="C279" s="15"/>
      <c r="E279" s="2"/>
      <c r="G279" s="2"/>
    </row>
    <row r="280" spans="3:7" x14ac:dyDescent="0.35">
      <c r="C280" s="15"/>
      <c r="E280" s="2"/>
      <c r="G280" s="2"/>
    </row>
    <row r="281" spans="3:7" x14ac:dyDescent="0.35">
      <c r="C281" s="15"/>
      <c r="E281" s="2"/>
      <c r="G281" s="2"/>
    </row>
    <row r="282" spans="3:7" x14ac:dyDescent="0.35">
      <c r="C282" s="15"/>
      <c r="E282" s="2"/>
      <c r="G282" s="2"/>
    </row>
    <row r="283" spans="3:7" x14ac:dyDescent="0.35">
      <c r="C283" s="15"/>
      <c r="E283" s="2"/>
      <c r="G283" s="2"/>
    </row>
    <row r="284" spans="3:7" x14ac:dyDescent="0.35">
      <c r="C284" s="15"/>
      <c r="E284" s="2"/>
      <c r="G284" s="2"/>
    </row>
    <row r="285" spans="3:7" x14ac:dyDescent="0.35">
      <c r="C285" s="15"/>
      <c r="E285" s="2"/>
      <c r="G285" s="2"/>
    </row>
    <row r="286" spans="3:7" x14ac:dyDescent="0.35">
      <c r="C286" s="15"/>
      <c r="E286" s="2"/>
      <c r="G286" s="2"/>
    </row>
    <row r="287" spans="3:7" x14ac:dyDescent="0.35">
      <c r="C287" s="15"/>
      <c r="E287" s="2"/>
      <c r="G287" s="2"/>
    </row>
    <row r="288" spans="3:7" x14ac:dyDescent="0.35">
      <c r="C288" s="15"/>
      <c r="E288" s="2"/>
      <c r="G288" s="2"/>
    </row>
    <row r="289" spans="3:7" x14ac:dyDescent="0.35">
      <c r="C289" s="15"/>
      <c r="E289" s="2"/>
      <c r="G289" s="2"/>
    </row>
    <row r="290" spans="3:7" x14ac:dyDescent="0.35">
      <c r="C290" s="15"/>
      <c r="E290" s="2"/>
      <c r="G290" s="2"/>
    </row>
    <row r="291" spans="3:7" x14ac:dyDescent="0.35">
      <c r="C291" s="15"/>
      <c r="E291" s="2"/>
      <c r="G291" s="2"/>
    </row>
    <row r="292" spans="3:7" x14ac:dyDescent="0.35">
      <c r="C292" s="15"/>
      <c r="E292" s="2"/>
      <c r="G292" s="2"/>
    </row>
    <row r="293" spans="3:7" x14ac:dyDescent="0.35">
      <c r="C293" s="15"/>
      <c r="E293" s="2"/>
      <c r="G293" s="2"/>
    </row>
    <row r="294" spans="3:7" x14ac:dyDescent="0.35">
      <c r="C294" s="15"/>
      <c r="E294" s="2"/>
      <c r="G294" s="2"/>
    </row>
    <row r="295" spans="3:7" x14ac:dyDescent="0.35">
      <c r="C295" s="15"/>
      <c r="E295" s="2"/>
      <c r="G295" s="2"/>
    </row>
    <row r="296" spans="3:7" x14ac:dyDescent="0.35">
      <c r="C296" s="15"/>
      <c r="E296" s="2"/>
      <c r="G296" s="2"/>
    </row>
    <row r="297" spans="3:7" x14ac:dyDescent="0.35">
      <c r="C297" s="15"/>
      <c r="E297" s="2"/>
      <c r="G297" s="2"/>
    </row>
    <row r="298" spans="3:7" x14ac:dyDescent="0.35">
      <c r="C298" s="15"/>
      <c r="E298" s="2"/>
      <c r="G298" s="2"/>
    </row>
    <row r="299" spans="3:7" x14ac:dyDescent="0.35">
      <c r="C299" s="15"/>
      <c r="E299" s="2"/>
      <c r="G299" s="2"/>
    </row>
    <row r="300" spans="3:7" x14ac:dyDescent="0.35">
      <c r="C300" s="15"/>
      <c r="E300" s="2"/>
      <c r="G300" s="2"/>
    </row>
    <row r="301" spans="3:7" x14ac:dyDescent="0.35">
      <c r="C301" s="15"/>
      <c r="E301" s="2"/>
      <c r="G301" s="2"/>
    </row>
    <row r="302" spans="3:7" x14ac:dyDescent="0.35">
      <c r="C302" s="15"/>
      <c r="E302" s="2"/>
      <c r="G302" s="2"/>
    </row>
    <row r="303" spans="3:7" x14ac:dyDescent="0.35">
      <c r="C303" s="15"/>
      <c r="E303" s="2"/>
      <c r="G303" s="2"/>
    </row>
    <row r="304" spans="3:7" x14ac:dyDescent="0.35">
      <c r="C304" s="15"/>
      <c r="E304" s="2"/>
      <c r="G304" s="2"/>
    </row>
    <row r="305" spans="3:7" x14ac:dyDescent="0.35">
      <c r="C305" s="15"/>
      <c r="E305" s="2"/>
      <c r="G305" s="2"/>
    </row>
    <row r="306" spans="3:7" x14ac:dyDescent="0.35">
      <c r="C306" s="15"/>
      <c r="E306" s="2"/>
      <c r="G306" s="2"/>
    </row>
    <row r="307" spans="3:7" x14ac:dyDescent="0.35">
      <c r="C307" s="15"/>
      <c r="E307" s="2"/>
      <c r="G307" s="2"/>
    </row>
    <row r="308" spans="3:7" x14ac:dyDescent="0.35">
      <c r="C308" s="15"/>
      <c r="E308" s="2"/>
      <c r="G308" s="2"/>
    </row>
    <row r="309" spans="3:7" x14ac:dyDescent="0.35">
      <c r="C309" s="15"/>
      <c r="E309" s="2"/>
      <c r="G309" s="2"/>
    </row>
    <row r="310" spans="3:7" x14ac:dyDescent="0.35">
      <c r="C310" s="15"/>
      <c r="E310" s="2"/>
      <c r="G310" s="2"/>
    </row>
    <row r="311" spans="3:7" x14ac:dyDescent="0.35">
      <c r="C311" s="15"/>
      <c r="E311" s="2"/>
      <c r="G311" s="2"/>
    </row>
    <row r="312" spans="3:7" x14ac:dyDescent="0.35">
      <c r="C312" s="15"/>
      <c r="E312" s="2"/>
      <c r="G312" s="2"/>
    </row>
    <row r="313" spans="3:7" x14ac:dyDescent="0.35">
      <c r="C313" s="15"/>
      <c r="E313" s="2"/>
      <c r="G313" s="2"/>
    </row>
    <row r="314" spans="3:7" x14ac:dyDescent="0.35">
      <c r="C314" s="15"/>
      <c r="E314" s="2"/>
      <c r="G314" s="2"/>
    </row>
    <row r="315" spans="3:7" x14ac:dyDescent="0.35">
      <c r="C315" s="15"/>
      <c r="E315" s="2"/>
      <c r="G315" s="2"/>
    </row>
    <row r="316" spans="3:7" x14ac:dyDescent="0.35">
      <c r="C316" s="15"/>
      <c r="E316" s="2"/>
      <c r="G316" s="2"/>
    </row>
    <row r="317" spans="3:7" x14ac:dyDescent="0.35">
      <c r="C317" s="15"/>
      <c r="E317" s="2"/>
      <c r="G317" s="2"/>
    </row>
    <row r="318" spans="3:7" x14ac:dyDescent="0.35">
      <c r="C318" s="15"/>
      <c r="E318" s="2"/>
      <c r="G318" s="2"/>
    </row>
    <row r="319" spans="3:7" x14ac:dyDescent="0.35">
      <c r="C319" s="15"/>
      <c r="E319" s="2"/>
      <c r="G319" s="2"/>
    </row>
    <row r="320" spans="3:7" x14ac:dyDescent="0.35">
      <c r="C320" s="15"/>
      <c r="E320" s="2"/>
      <c r="G320" s="2"/>
    </row>
    <row r="321" spans="3:7" x14ac:dyDescent="0.35">
      <c r="C321" s="15"/>
      <c r="E321" s="2"/>
      <c r="G321" s="2"/>
    </row>
    <row r="322" spans="3:7" x14ac:dyDescent="0.35">
      <c r="C322" s="15"/>
      <c r="E322" s="2"/>
      <c r="G322" s="2"/>
    </row>
    <row r="323" spans="3:7" x14ac:dyDescent="0.35">
      <c r="C323" s="15"/>
      <c r="E323" s="2"/>
      <c r="G323" s="2"/>
    </row>
    <row r="324" spans="3:7" x14ac:dyDescent="0.35">
      <c r="C324" s="15"/>
      <c r="E324" s="2"/>
      <c r="G324" s="2"/>
    </row>
    <row r="325" spans="3:7" x14ac:dyDescent="0.35">
      <c r="C325" s="15"/>
      <c r="E325" s="2"/>
      <c r="G325" s="2"/>
    </row>
    <row r="326" spans="3:7" x14ac:dyDescent="0.35">
      <c r="C326" s="15"/>
      <c r="E326" s="2"/>
      <c r="G326" s="2"/>
    </row>
    <row r="327" spans="3:7" x14ac:dyDescent="0.35">
      <c r="C327" s="15"/>
      <c r="E327" s="2"/>
      <c r="G327" s="2"/>
    </row>
    <row r="328" spans="3:7" x14ac:dyDescent="0.35">
      <c r="C328" s="15"/>
      <c r="E328" s="2"/>
      <c r="G328" s="2"/>
    </row>
    <row r="329" spans="3:7" x14ac:dyDescent="0.35">
      <c r="C329" s="15"/>
      <c r="E329" s="2"/>
      <c r="G329" s="2"/>
    </row>
    <row r="330" spans="3:7" x14ac:dyDescent="0.35">
      <c r="C330" s="15"/>
      <c r="E330" s="2"/>
      <c r="G330" s="2"/>
    </row>
    <row r="331" spans="3:7" x14ac:dyDescent="0.35">
      <c r="C331" s="15"/>
      <c r="E331" s="2"/>
      <c r="G331" s="2"/>
    </row>
    <row r="332" spans="3:7" x14ac:dyDescent="0.35">
      <c r="C332" s="15"/>
      <c r="E332" s="2"/>
      <c r="G332" s="2"/>
    </row>
    <row r="333" spans="3:7" x14ac:dyDescent="0.35">
      <c r="C333" s="15"/>
      <c r="E333" s="2"/>
      <c r="G333" s="2"/>
    </row>
    <row r="334" spans="3:7" x14ac:dyDescent="0.35">
      <c r="C334" s="15"/>
      <c r="E334" s="2"/>
      <c r="G334" s="2"/>
    </row>
    <row r="335" spans="3:7" x14ac:dyDescent="0.35">
      <c r="C335" s="15"/>
      <c r="E335" s="2"/>
      <c r="G335" s="2"/>
    </row>
    <row r="336" spans="3:7" x14ac:dyDescent="0.35">
      <c r="C336" s="15"/>
      <c r="E336" s="2"/>
      <c r="G336" s="2"/>
    </row>
    <row r="337" spans="3:7" x14ac:dyDescent="0.35">
      <c r="C337" s="15"/>
      <c r="E337" s="2"/>
      <c r="G337" s="2"/>
    </row>
    <row r="338" spans="3:7" x14ac:dyDescent="0.35">
      <c r="C338" s="15"/>
      <c r="E338" s="2"/>
      <c r="G338" s="2"/>
    </row>
    <row r="339" spans="3:7" x14ac:dyDescent="0.35">
      <c r="C339" s="15"/>
      <c r="E339" s="2"/>
      <c r="G339" s="2"/>
    </row>
    <row r="340" spans="3:7" x14ac:dyDescent="0.35">
      <c r="C340" s="15"/>
      <c r="E340" s="2"/>
      <c r="G340" s="2"/>
    </row>
    <row r="341" spans="3:7" x14ac:dyDescent="0.35">
      <c r="C341" s="15"/>
      <c r="E341" s="2"/>
      <c r="G341" s="2"/>
    </row>
    <row r="342" spans="3:7" x14ac:dyDescent="0.35">
      <c r="C342" s="15"/>
      <c r="E342" s="2"/>
      <c r="G342" s="2"/>
    </row>
    <row r="343" spans="3:7" x14ac:dyDescent="0.35">
      <c r="C343" s="15"/>
      <c r="E343" s="2"/>
      <c r="G343" s="2"/>
    </row>
    <row r="344" spans="3:7" x14ac:dyDescent="0.35">
      <c r="C344" s="15"/>
      <c r="E344" s="2"/>
      <c r="G344" s="2"/>
    </row>
    <row r="345" spans="3:7" x14ac:dyDescent="0.35">
      <c r="C345" s="15"/>
      <c r="E345" s="2"/>
      <c r="G345" s="2"/>
    </row>
    <row r="346" spans="3:7" x14ac:dyDescent="0.35">
      <c r="C346" s="15"/>
      <c r="E346" s="2"/>
      <c r="G346" s="2"/>
    </row>
    <row r="347" spans="3:7" x14ac:dyDescent="0.35">
      <c r="C347" s="15"/>
      <c r="E347" s="2"/>
      <c r="G347" s="2"/>
    </row>
    <row r="348" spans="3:7" x14ac:dyDescent="0.35">
      <c r="C348" s="15"/>
      <c r="E348" s="2"/>
      <c r="G348" s="2"/>
    </row>
    <row r="349" spans="3:7" x14ac:dyDescent="0.35">
      <c r="C349" s="15"/>
      <c r="E349" s="2"/>
      <c r="G349" s="2"/>
    </row>
    <row r="350" spans="3:7" x14ac:dyDescent="0.35">
      <c r="C350" s="15"/>
      <c r="E350" s="2"/>
      <c r="G350" s="2"/>
    </row>
    <row r="351" spans="3:7" x14ac:dyDescent="0.35">
      <c r="C351" s="15"/>
      <c r="E351" s="2"/>
      <c r="G351" s="2"/>
    </row>
    <row r="352" spans="3:7" x14ac:dyDescent="0.35">
      <c r="C352" s="15"/>
      <c r="E352" s="2"/>
      <c r="G352" s="2"/>
    </row>
    <row r="353" spans="3:7" x14ac:dyDescent="0.35">
      <c r="C353" s="15"/>
      <c r="E353" s="2"/>
      <c r="G353" s="2"/>
    </row>
    <row r="354" spans="3:7" x14ac:dyDescent="0.35">
      <c r="C354" s="15"/>
      <c r="E354" s="2"/>
      <c r="G354" s="2"/>
    </row>
    <row r="355" spans="3:7" x14ac:dyDescent="0.35">
      <c r="C355" s="15"/>
      <c r="E355" s="2"/>
      <c r="G355" s="2"/>
    </row>
    <row r="356" spans="3:7" x14ac:dyDescent="0.35">
      <c r="C356" s="15"/>
      <c r="E356" s="2"/>
      <c r="G356" s="2"/>
    </row>
    <row r="357" spans="3:7" x14ac:dyDescent="0.35">
      <c r="C357" s="15"/>
      <c r="E357" s="2"/>
      <c r="G357" s="2"/>
    </row>
    <row r="358" spans="3:7" x14ac:dyDescent="0.35">
      <c r="C358" s="15"/>
      <c r="E358" s="2"/>
    </row>
    <row r="359" spans="3:7" x14ac:dyDescent="0.35">
      <c r="C359" s="15"/>
      <c r="E359" s="2"/>
    </row>
    <row r="360" spans="3:7" x14ac:dyDescent="0.35">
      <c r="C360" s="15"/>
      <c r="E360" s="2"/>
    </row>
    <row r="361" spans="3:7" x14ac:dyDescent="0.35">
      <c r="C361" s="15"/>
      <c r="E361" s="2"/>
    </row>
    <row r="362" spans="3:7" x14ac:dyDescent="0.35">
      <c r="C362" s="15"/>
      <c r="E362" s="2"/>
    </row>
    <row r="363" spans="3:7" x14ac:dyDescent="0.35">
      <c r="C363" s="15"/>
      <c r="E363" s="2"/>
    </row>
    <row r="364" spans="3:7" x14ac:dyDescent="0.35">
      <c r="C364" s="15"/>
      <c r="E364" s="2"/>
    </row>
    <row r="365" spans="3:7" x14ac:dyDescent="0.35">
      <c r="C365" s="15"/>
      <c r="E365" s="2"/>
    </row>
    <row r="366" spans="3:7" x14ac:dyDescent="0.35">
      <c r="C366" s="15"/>
      <c r="E366" s="2"/>
    </row>
    <row r="367" spans="3:7" x14ac:dyDescent="0.35">
      <c r="C367" s="15"/>
      <c r="E367" s="2"/>
    </row>
    <row r="368" spans="3:7" x14ac:dyDescent="0.35">
      <c r="C368" s="15"/>
      <c r="E368" s="2"/>
    </row>
    <row r="369" spans="3:5" x14ac:dyDescent="0.35">
      <c r="C369" s="15"/>
      <c r="E369" s="2"/>
    </row>
    <row r="370" spans="3:5" x14ac:dyDescent="0.35">
      <c r="C370" s="15"/>
      <c r="E370" s="2"/>
    </row>
    <row r="371" spans="3:5" x14ac:dyDescent="0.35">
      <c r="C371" s="15"/>
      <c r="E371" s="2"/>
    </row>
    <row r="372" spans="3:5" x14ac:dyDescent="0.35">
      <c r="C372" s="15"/>
      <c r="E372" s="2"/>
    </row>
    <row r="373" spans="3:5" x14ac:dyDescent="0.35">
      <c r="C373" s="15"/>
      <c r="E373" s="2"/>
    </row>
    <row r="374" spans="3:5" x14ac:dyDescent="0.35">
      <c r="C374" s="15"/>
      <c r="E374" s="2"/>
    </row>
    <row r="375" spans="3:5" x14ac:dyDescent="0.35">
      <c r="C375" s="15"/>
      <c r="E375" s="2"/>
    </row>
    <row r="376" spans="3:5" x14ac:dyDescent="0.35">
      <c r="C376" s="15"/>
      <c r="E376" s="2"/>
    </row>
    <row r="377" spans="3:5" x14ac:dyDescent="0.35">
      <c r="C377" s="15"/>
      <c r="E377" s="2"/>
    </row>
    <row r="378" spans="3:5" x14ac:dyDescent="0.35">
      <c r="C378" s="15"/>
      <c r="E378" s="2"/>
    </row>
    <row r="379" spans="3:5" x14ac:dyDescent="0.35">
      <c r="C379" s="15"/>
      <c r="E379" s="2"/>
    </row>
    <row r="380" spans="3:5" x14ac:dyDescent="0.35">
      <c r="C380" s="15"/>
      <c r="E380" s="2"/>
    </row>
    <row r="381" spans="3:5" x14ac:dyDescent="0.35">
      <c r="C381" s="15"/>
      <c r="E381" s="2"/>
    </row>
    <row r="382" spans="3:5" x14ac:dyDescent="0.35">
      <c r="C382" s="15"/>
      <c r="E382" s="2"/>
    </row>
    <row r="383" spans="3:5" x14ac:dyDescent="0.35">
      <c r="C383" s="15"/>
      <c r="E383" s="2"/>
    </row>
    <row r="384" spans="3:5" x14ac:dyDescent="0.35">
      <c r="C384" s="15"/>
      <c r="E384" s="2"/>
    </row>
    <row r="385" spans="3:5" x14ac:dyDescent="0.35">
      <c r="C385" s="15"/>
      <c r="E385" s="2"/>
    </row>
    <row r="386" spans="3:5" x14ac:dyDescent="0.35">
      <c r="C386" s="15"/>
      <c r="E386" s="2"/>
    </row>
    <row r="387" spans="3:5" x14ac:dyDescent="0.35">
      <c r="C387" s="15"/>
      <c r="E387" s="2"/>
    </row>
    <row r="388" spans="3:5" x14ac:dyDescent="0.35">
      <c r="C388" s="15"/>
      <c r="E388" s="2"/>
    </row>
    <row r="389" spans="3:5" x14ac:dyDescent="0.35">
      <c r="C389" s="15"/>
      <c r="E389" s="2"/>
    </row>
    <row r="390" spans="3:5" x14ac:dyDescent="0.35">
      <c r="C390" s="15"/>
      <c r="E390" s="2"/>
    </row>
    <row r="391" spans="3:5" x14ac:dyDescent="0.35">
      <c r="C391" s="15"/>
      <c r="E391" s="2"/>
    </row>
    <row r="392" spans="3:5" x14ac:dyDescent="0.35">
      <c r="C392" s="15"/>
      <c r="E392" s="2"/>
    </row>
    <row r="393" spans="3:5" x14ac:dyDescent="0.35">
      <c r="C393" s="15"/>
      <c r="E393" s="2"/>
    </row>
    <row r="394" spans="3:5" x14ac:dyDescent="0.35">
      <c r="C394" s="15"/>
      <c r="E394" s="2"/>
    </row>
    <row r="395" spans="3:5" x14ac:dyDescent="0.35">
      <c r="C395" s="15"/>
      <c r="E395" s="2"/>
    </row>
    <row r="396" spans="3:5" x14ac:dyDescent="0.35">
      <c r="C396" s="15"/>
      <c r="E396" s="2"/>
    </row>
    <row r="397" spans="3:5" x14ac:dyDescent="0.35">
      <c r="C397" s="15"/>
      <c r="E397" s="2"/>
    </row>
    <row r="398" spans="3:5" x14ac:dyDescent="0.35">
      <c r="C398" s="15"/>
      <c r="E398" s="2"/>
    </row>
    <row r="399" spans="3:5" x14ac:dyDescent="0.35">
      <c r="C399" s="15"/>
      <c r="E399" s="2"/>
    </row>
    <row r="400" spans="3:5" x14ac:dyDescent="0.35">
      <c r="C400" s="15"/>
      <c r="E400" s="2"/>
    </row>
    <row r="401" spans="3:5" x14ac:dyDescent="0.35">
      <c r="C401" s="15"/>
      <c r="E401" s="2"/>
    </row>
    <row r="402" spans="3:5" x14ac:dyDescent="0.35">
      <c r="C402" s="15"/>
      <c r="E402" s="2"/>
    </row>
    <row r="403" spans="3:5" x14ac:dyDescent="0.35">
      <c r="C403" s="15"/>
      <c r="E403" s="2"/>
    </row>
    <row r="404" spans="3:5" x14ac:dyDescent="0.35">
      <c r="C404" s="15"/>
      <c r="E404" s="2"/>
    </row>
    <row r="405" spans="3:5" x14ac:dyDescent="0.35">
      <c r="C405" s="15"/>
      <c r="E405" s="2"/>
    </row>
    <row r="406" spans="3:5" x14ac:dyDescent="0.35">
      <c r="C406" s="15"/>
      <c r="E406" s="2"/>
    </row>
    <row r="407" spans="3:5" x14ac:dyDescent="0.35">
      <c r="C407" s="15"/>
      <c r="E407" s="2"/>
    </row>
    <row r="408" spans="3:5" x14ac:dyDescent="0.35">
      <c r="C408" s="15"/>
      <c r="E408" s="2"/>
    </row>
    <row r="409" spans="3:5" x14ac:dyDescent="0.35">
      <c r="C409" s="15"/>
      <c r="E409" s="2"/>
    </row>
    <row r="410" spans="3:5" x14ac:dyDescent="0.35">
      <c r="C410" s="15"/>
      <c r="E410" s="2"/>
    </row>
    <row r="411" spans="3:5" x14ac:dyDescent="0.35">
      <c r="C411" s="15"/>
      <c r="E411" s="2"/>
    </row>
    <row r="412" spans="3:5" x14ac:dyDescent="0.35">
      <c r="C412" s="15"/>
      <c r="E412" s="2"/>
    </row>
    <row r="413" spans="3:5" x14ac:dyDescent="0.35">
      <c r="C413" s="15"/>
      <c r="E413" s="2"/>
    </row>
    <row r="414" spans="3:5" x14ac:dyDescent="0.35">
      <c r="C414" s="15"/>
      <c r="E414" s="2"/>
    </row>
    <row r="415" spans="3:5" x14ac:dyDescent="0.35">
      <c r="C415" s="15"/>
      <c r="E415" s="2"/>
    </row>
    <row r="416" spans="3:5" x14ac:dyDescent="0.35">
      <c r="C416" s="15"/>
      <c r="E416" s="2"/>
    </row>
    <row r="417" spans="3:5" x14ac:dyDescent="0.35">
      <c r="C417" s="15"/>
      <c r="E417" s="2"/>
    </row>
    <row r="418" spans="3:5" x14ac:dyDescent="0.35">
      <c r="C418" s="15"/>
      <c r="E418" s="2"/>
    </row>
    <row r="419" spans="3:5" x14ac:dyDescent="0.35">
      <c r="C419" s="15"/>
      <c r="E419" s="2"/>
    </row>
    <row r="420" spans="3:5" x14ac:dyDescent="0.35">
      <c r="C420" s="15"/>
      <c r="E420" s="2"/>
    </row>
    <row r="421" spans="3:5" x14ac:dyDescent="0.35">
      <c r="C421" s="15"/>
      <c r="E421" s="2"/>
    </row>
    <row r="422" spans="3:5" x14ac:dyDescent="0.35">
      <c r="C422" s="15"/>
      <c r="E422" s="2"/>
    </row>
    <row r="423" spans="3:5" x14ac:dyDescent="0.35">
      <c r="C423" s="15"/>
      <c r="E423" s="2"/>
    </row>
    <row r="424" spans="3:5" x14ac:dyDescent="0.35">
      <c r="C424" s="15"/>
      <c r="E424" s="2"/>
    </row>
    <row r="425" spans="3:5" x14ac:dyDescent="0.35">
      <c r="C425" s="15"/>
      <c r="E425" s="2"/>
    </row>
    <row r="426" spans="3:5" x14ac:dyDescent="0.35">
      <c r="C426" s="15"/>
      <c r="E426" s="2"/>
    </row>
    <row r="427" spans="3:5" x14ac:dyDescent="0.35">
      <c r="C427" s="15"/>
      <c r="E427" s="2"/>
    </row>
    <row r="428" spans="3:5" x14ac:dyDescent="0.35">
      <c r="C428" s="15"/>
      <c r="E428" s="2"/>
    </row>
    <row r="429" spans="3:5" x14ac:dyDescent="0.35">
      <c r="C429" s="15"/>
      <c r="E429" s="2"/>
    </row>
    <row r="430" spans="3:5" x14ac:dyDescent="0.35">
      <c r="C430" s="15"/>
      <c r="E430" s="2"/>
    </row>
    <row r="431" spans="3:5" x14ac:dyDescent="0.35">
      <c r="C431" s="15"/>
      <c r="E431" s="2"/>
    </row>
    <row r="432" spans="3:5" x14ac:dyDescent="0.35">
      <c r="C432" s="15"/>
      <c r="E432" s="2"/>
    </row>
    <row r="433" spans="3:5" x14ac:dyDescent="0.35">
      <c r="C433" s="15"/>
      <c r="E433" s="2"/>
    </row>
    <row r="434" spans="3:5" x14ac:dyDescent="0.35">
      <c r="C434" s="15"/>
      <c r="E434" s="2"/>
    </row>
    <row r="435" spans="3:5" x14ac:dyDescent="0.35">
      <c r="C435" s="15"/>
      <c r="E435" s="2"/>
    </row>
    <row r="436" spans="3:5" x14ac:dyDescent="0.35">
      <c r="C436" s="15"/>
      <c r="E436" s="2"/>
    </row>
    <row r="437" spans="3:5" x14ac:dyDescent="0.35">
      <c r="C437" s="15"/>
      <c r="E437" s="2"/>
    </row>
    <row r="438" spans="3:5" x14ac:dyDescent="0.35">
      <c r="C438" s="15"/>
      <c r="E438" s="2"/>
    </row>
    <row r="439" spans="3:5" x14ac:dyDescent="0.35">
      <c r="C439" s="15"/>
      <c r="E439" s="2"/>
    </row>
    <row r="440" spans="3:5" x14ac:dyDescent="0.35">
      <c r="E440" s="2"/>
    </row>
    <row r="441" spans="3:5" x14ac:dyDescent="0.35">
      <c r="E441" s="2"/>
    </row>
    <row r="442" spans="3:5" x14ac:dyDescent="0.35">
      <c r="E442" s="2"/>
    </row>
    <row r="443" spans="3:5" x14ac:dyDescent="0.35">
      <c r="E443" s="2"/>
    </row>
    <row r="444" spans="3:5" x14ac:dyDescent="0.35">
      <c r="E444" s="2"/>
    </row>
    <row r="445" spans="3:5" x14ac:dyDescent="0.35">
      <c r="E445" s="2"/>
    </row>
    <row r="446" spans="3:5" x14ac:dyDescent="0.35">
      <c r="E446" s="2"/>
    </row>
    <row r="447" spans="3:5" x14ac:dyDescent="0.35">
      <c r="E447" s="2"/>
    </row>
    <row r="448" spans="3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2"/>
    </row>
    <row r="453" spans="5:5" x14ac:dyDescent="0.35">
      <c r="E453" s="2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2"/>
    </row>
    <row r="460" spans="5:5" x14ac:dyDescent="0.35">
      <c r="E460" s="2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2"/>
    </row>
    <row r="469" spans="5:5" x14ac:dyDescent="0.35">
      <c r="E469" s="2"/>
    </row>
    <row r="470" spans="5:5" x14ac:dyDescent="0.35">
      <c r="E470" s="2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2"/>
    </row>
    <row r="484" spans="5:5" x14ac:dyDescent="0.35">
      <c r="E484" s="2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2"/>
    </row>
    <row r="491" spans="5:5" x14ac:dyDescent="0.35">
      <c r="E491" s="2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2"/>
    </row>
    <row r="500" spans="5:5" x14ac:dyDescent="0.35">
      <c r="E500" s="2"/>
    </row>
    <row r="501" spans="5:5" x14ac:dyDescent="0.35">
      <c r="E501" s="2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2"/>
    </row>
    <row r="515" spans="5:5" x14ac:dyDescent="0.35">
      <c r="E515" s="2"/>
    </row>
    <row r="516" spans="5:5" x14ac:dyDescent="0.35">
      <c r="E516" s="2"/>
    </row>
    <row r="517" spans="5:5" x14ac:dyDescent="0.35">
      <c r="E517" s="2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2"/>
    </row>
    <row r="522" spans="5:5" x14ac:dyDescent="0.35">
      <c r="E522" s="2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2"/>
    </row>
    <row r="531" spans="5:5" x14ac:dyDescent="0.35">
      <c r="E531" s="2"/>
    </row>
    <row r="532" spans="5:5" x14ac:dyDescent="0.35">
      <c r="E532" s="2"/>
    </row>
    <row r="533" spans="5:5" x14ac:dyDescent="0.35">
      <c r="E533" s="2"/>
    </row>
    <row r="534" spans="5:5" x14ac:dyDescent="0.35">
      <c r="E534" s="2"/>
    </row>
    <row r="535" spans="5:5" x14ac:dyDescent="0.35">
      <c r="E535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2"/>
    </row>
    <row r="546" spans="5:5" x14ac:dyDescent="0.35">
      <c r="E546" s="2"/>
    </row>
    <row r="547" spans="5:5" x14ac:dyDescent="0.35">
      <c r="E547" s="2"/>
    </row>
    <row r="548" spans="5:5" x14ac:dyDescent="0.35">
      <c r="E548" s="2"/>
    </row>
    <row r="549" spans="5:5" x14ac:dyDescent="0.35">
      <c r="E549" s="2"/>
    </row>
    <row r="550" spans="5:5" x14ac:dyDescent="0.35">
      <c r="E550" s="2"/>
    </row>
    <row r="551" spans="5:5" x14ac:dyDescent="0.35">
      <c r="E551" s="2"/>
    </row>
    <row r="552" spans="5:5" x14ac:dyDescent="0.35">
      <c r="E552" s="2"/>
    </row>
    <row r="553" spans="5:5" x14ac:dyDescent="0.35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="110" zoomScaleNormal="110" workbookViewId="0"/>
  </sheetViews>
  <sheetFormatPr defaultRowHeight="18" x14ac:dyDescent="0.35"/>
  <cols>
    <col min="1" max="1" width="3.58203125" customWidth="1"/>
    <col min="2" max="2" width="9.5" bestFit="1" customWidth="1"/>
    <col min="3" max="3" width="9.33203125" bestFit="1" customWidth="1"/>
    <col min="5" max="6" width="10" bestFit="1" customWidth="1"/>
    <col min="7" max="7" width="11.6640625" bestFit="1" customWidth="1"/>
    <col min="8" max="8" width="9.33203125" bestFit="1" customWidth="1"/>
    <col min="9" max="9" width="11.6640625" bestFit="1" customWidth="1"/>
    <col min="10" max="10" width="9.33203125" bestFit="1" customWidth="1"/>
  </cols>
  <sheetData>
    <row r="2" spans="2:19" x14ac:dyDescent="0.35">
      <c r="B2" s="3" t="s">
        <v>4</v>
      </c>
      <c r="C2" s="2">
        <v>45103</v>
      </c>
      <c r="D2" s="2"/>
      <c r="F2" s="3"/>
      <c r="H2" s="2"/>
    </row>
    <row r="3" spans="2:19" x14ac:dyDescent="0.35">
      <c r="H3">
        <v>0.1</v>
      </c>
    </row>
    <row r="4" spans="2:19" x14ac:dyDescent="0.35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5">
      <c r="B5">
        <v>1</v>
      </c>
      <c r="C5" s="17">
        <v>0.05</v>
      </c>
      <c r="D5" s="5">
        <v>1</v>
      </c>
      <c r="E5" s="4" cm="1">
        <f t="array" ref="E5">_xll.\TMX.BOND.SIMPLE(B5, C5)</f>
        <v>2141508726720</v>
      </c>
      <c r="F5" s="4" cm="1">
        <f t="array" ref="F5">_xll.\TMX.BOND.INSTRUMENT(E5, dated)</f>
        <v>2141855140656</v>
      </c>
      <c r="G5" s="4" cm="1">
        <f t="array" aca="1" ref="G5" ca="1">_xll.\TMX.BOOTSTRAP.CURVE(instrument, price)</f>
        <v>2141527840496</v>
      </c>
      <c r="H5" cm="1">
        <f t="array" ref="H5:H105">_xll.ARRAY.SEQUENCE(0,10,H3)</f>
        <v>0</v>
      </c>
      <c r="I5" s="20" cm="1">
        <f t="array" aca="1" ref="I5:I105" ca="1">_xlfn.MAP(_xlfn.ANCHORARRAY(H5),_xlfn.LAMBDA(_xlpm.t,_xll.TMX.PWFLAT.CURVE.FORWARD(curve,_xlpm.t)))</f>
        <v>4.9283011639120938E-2</v>
      </c>
      <c r="J5" s="2"/>
      <c r="R5" s="21"/>
      <c r="S5" s="21"/>
    </row>
    <row r="6" spans="2:19" x14ac:dyDescent="0.35">
      <c r="B6">
        <v>2</v>
      </c>
      <c r="C6" s="17">
        <f ca="1">0.05 + 0.01*RAND() - 0.005</f>
        <v>5.3077290564359073E-2</v>
      </c>
      <c r="D6" s="5">
        <v>1</v>
      </c>
      <c r="E6" s="4" cm="1">
        <f t="array" aca="1" ref="E6" ca="1">_xll.\TMX.BOND.SIMPLE(B6, C6)</f>
        <v>2142425904464</v>
      </c>
      <c r="F6" s="4" cm="1">
        <f t="array" aca="1" ref="F6" ca="1">_xll.\TMX.BOND.INSTRUMENT(E6, dated)</f>
        <v>2141527839264</v>
      </c>
      <c r="H6">
        <v>0.1</v>
      </c>
      <c r="I6" s="19">
        <f ca="1"/>
        <v>4.9283011639120938E-2</v>
      </c>
      <c r="R6" s="21"/>
      <c r="S6" s="21"/>
    </row>
    <row r="7" spans="2:19" x14ac:dyDescent="0.35">
      <c r="B7">
        <v>3</v>
      </c>
      <c r="C7" s="17">
        <v>0.05</v>
      </c>
      <c r="D7" s="5">
        <v>1</v>
      </c>
      <c r="E7" s="4" cm="1">
        <f t="array" ref="E7">_xll.\TMX.BOND.SIMPLE(B7, C7)</f>
        <v>2141508727968</v>
      </c>
      <c r="F7" s="4" cm="1">
        <f t="array" ref="F7">_xll.\TMX.BOND.INSTRUMENT(E7, dated)</f>
        <v>2141855135904</v>
      </c>
      <c r="H7">
        <v>0.2</v>
      </c>
      <c r="I7" s="19">
        <f ca="1"/>
        <v>4.9283011639120938E-2</v>
      </c>
      <c r="R7" s="21"/>
      <c r="S7" s="21"/>
    </row>
    <row r="8" spans="2:19" x14ac:dyDescent="0.35">
      <c r="B8">
        <v>4</v>
      </c>
      <c r="C8" s="17">
        <v>0.05</v>
      </c>
      <c r="D8" s="5">
        <v>1</v>
      </c>
      <c r="E8" s="4" cm="1">
        <f t="array" ref="E8">_xll.\TMX.BOND.SIMPLE(B8, C8)</f>
        <v>2141508731040</v>
      </c>
      <c r="F8" s="4" cm="1">
        <f t="array" ref="F8">_xll.\TMX.BOND.INSTRUMENT(E8, dated)</f>
        <v>2141855132912</v>
      </c>
      <c r="H8">
        <v>0.30000000000000004</v>
      </c>
      <c r="I8" s="19">
        <f ca="1"/>
        <v>4.9283011639120938E-2</v>
      </c>
      <c r="R8" s="21"/>
      <c r="S8" s="21"/>
    </row>
    <row r="9" spans="2:19" x14ac:dyDescent="0.35">
      <c r="B9">
        <v>5</v>
      </c>
      <c r="C9" s="17">
        <v>0.05</v>
      </c>
      <c r="D9" s="5">
        <v>1</v>
      </c>
      <c r="E9" s="4" cm="1">
        <f t="array" ref="E9">_xll.\TMX.BOND.SIMPLE(B9, C9)</f>
        <v>2141508728160</v>
      </c>
      <c r="F9" s="4" cm="1">
        <f t="array" ref="F9">_xll.\TMX.BOND.INSTRUMENT(E9, dated)</f>
        <v>2141855135728</v>
      </c>
      <c r="H9">
        <v>0.4</v>
      </c>
      <c r="I9" s="19">
        <f ca="1"/>
        <v>4.9283011639120938E-2</v>
      </c>
      <c r="R9" s="21"/>
      <c r="S9" s="21"/>
    </row>
    <row r="10" spans="2:19" x14ac:dyDescent="0.35">
      <c r="B10">
        <v>6</v>
      </c>
      <c r="C10" s="17">
        <v>0.05</v>
      </c>
      <c r="D10" s="5">
        <v>1</v>
      </c>
      <c r="E10" s="4" cm="1">
        <f t="array" ref="E10">_xll.\TMX.BOND.SIMPLE(B10, C10)</f>
        <v>2141508729120</v>
      </c>
      <c r="F10" s="4" cm="1">
        <f t="array" ref="F10">_xll.\TMX.BOND.INSTRUMENT(E10, dated)</f>
        <v>2141855140480</v>
      </c>
      <c r="H10">
        <v>0.5</v>
      </c>
      <c r="I10" s="19">
        <f ca="1"/>
        <v>4.9283011639120938E-2</v>
      </c>
      <c r="R10" s="21"/>
      <c r="S10" s="21"/>
    </row>
    <row r="11" spans="2:19" x14ac:dyDescent="0.35">
      <c r="B11">
        <v>7</v>
      </c>
      <c r="C11" s="17">
        <v>0.05</v>
      </c>
      <c r="D11" s="5">
        <v>1</v>
      </c>
      <c r="E11" s="4" cm="1">
        <f t="array" ref="E11">_xll.\TMX.BOND.SIMPLE(B11, C11)</f>
        <v>2141508728832</v>
      </c>
      <c r="F11" s="4" cm="1">
        <f t="array" ref="F11">_xll.\TMX.BOND.INSTRUMENT(E11, dated)</f>
        <v>2141855141008</v>
      </c>
      <c r="H11">
        <v>0.60000000000000009</v>
      </c>
      <c r="I11" s="19">
        <f ca="1"/>
        <v>4.9283011639120938E-2</v>
      </c>
      <c r="R11" s="21"/>
      <c r="S11" s="21"/>
    </row>
    <row r="12" spans="2:19" x14ac:dyDescent="0.35">
      <c r="B12">
        <v>8</v>
      </c>
      <c r="C12" s="17">
        <v>0.05</v>
      </c>
      <c r="D12" s="5">
        <v>1</v>
      </c>
      <c r="E12" s="4" cm="1">
        <f t="array" ref="E12">_xll.\TMX.BOND.SIMPLE(B12, C12)</f>
        <v>2141508727584</v>
      </c>
      <c r="F12" s="4" cm="1">
        <f t="array" ref="F12">_xll.\TMX.BOND.INSTRUMENT(E12, dated)</f>
        <v>2141855140304</v>
      </c>
      <c r="H12">
        <v>0.70000000000000007</v>
      </c>
      <c r="I12" s="19">
        <f ca="1"/>
        <v>4.9283011639120938E-2</v>
      </c>
      <c r="R12" s="21"/>
      <c r="S12" s="21"/>
    </row>
    <row r="13" spans="2:19" x14ac:dyDescent="0.35">
      <c r="B13">
        <v>9</v>
      </c>
      <c r="C13" s="17">
        <v>0.05</v>
      </c>
      <c r="D13" s="5">
        <v>1</v>
      </c>
      <c r="E13" s="4" cm="1">
        <f t="array" ref="E13">_xll.\TMX.BOND.SIMPLE(B13, C13)</f>
        <v>2141508727104</v>
      </c>
      <c r="F13" s="4" cm="1">
        <f t="array" ref="F13">_xll.\TMX.BOND.INSTRUMENT(E13, dated)</f>
        <v>2141855140832</v>
      </c>
      <c r="H13">
        <v>0.8</v>
      </c>
      <c r="I13" s="19">
        <f ca="1"/>
        <v>4.9283011639120938E-2</v>
      </c>
      <c r="R13" s="21"/>
      <c r="S13" s="21"/>
    </row>
    <row r="14" spans="2:19" x14ac:dyDescent="0.35">
      <c r="B14">
        <v>10</v>
      </c>
      <c r="C14" s="17">
        <v>0.05</v>
      </c>
      <c r="D14" s="5">
        <v>1</v>
      </c>
      <c r="E14" s="4" cm="1">
        <f t="array" ref="E14">_xll.\TMX.BOND.SIMPLE(B14, C14)</f>
        <v>2141508727392</v>
      </c>
      <c r="F14" s="4" cm="1">
        <f t="array" ref="F14">_xll.\TMX.BOND.INSTRUMENT(E14, dated)</f>
        <v>2141855142064</v>
      </c>
      <c r="H14">
        <v>0.9</v>
      </c>
      <c r="I14" s="19">
        <f ca="1"/>
        <v>4.9283011639120938E-2</v>
      </c>
      <c r="R14" s="21"/>
      <c r="S14" s="21"/>
    </row>
    <row r="15" spans="2:19" x14ac:dyDescent="0.35">
      <c r="H15">
        <v>1</v>
      </c>
      <c r="I15" s="19">
        <f ca="1"/>
        <v>4.9283011639120938E-2</v>
      </c>
      <c r="R15" s="21"/>
      <c r="S15" s="21"/>
    </row>
    <row r="16" spans="2:19" x14ac:dyDescent="0.35">
      <c r="E16" s="27"/>
      <c r="H16">
        <v>1.1000000000000001</v>
      </c>
      <c r="I16" s="19">
        <f ca="1"/>
        <v>5.5581637272549694E-2</v>
      </c>
    </row>
    <row r="17" spans="8:9" x14ac:dyDescent="0.35">
      <c r="H17">
        <v>1.2000000000000002</v>
      </c>
      <c r="I17" s="19">
        <f ca="1"/>
        <v>5.5581637272549694E-2</v>
      </c>
    </row>
    <row r="18" spans="8:9" x14ac:dyDescent="0.35">
      <c r="H18">
        <v>1.3</v>
      </c>
      <c r="I18" s="19">
        <f ca="1"/>
        <v>5.5581637272549694E-2</v>
      </c>
    </row>
    <row r="19" spans="8:9" x14ac:dyDescent="0.35">
      <c r="H19">
        <v>1.4000000000000001</v>
      </c>
      <c r="I19" s="19">
        <f ca="1"/>
        <v>5.5581637272549694E-2</v>
      </c>
    </row>
    <row r="20" spans="8:9" x14ac:dyDescent="0.35">
      <c r="H20">
        <v>1.5</v>
      </c>
      <c r="I20" s="19">
        <f ca="1"/>
        <v>5.5581637272549694E-2</v>
      </c>
    </row>
    <row r="21" spans="8:9" x14ac:dyDescent="0.35">
      <c r="H21">
        <v>1.6</v>
      </c>
      <c r="I21" s="19">
        <f ca="1"/>
        <v>5.5581637272549694E-2</v>
      </c>
    </row>
    <row r="22" spans="8:9" x14ac:dyDescent="0.35">
      <c r="H22">
        <v>1.7000000000000002</v>
      </c>
      <c r="I22" s="19">
        <f ca="1"/>
        <v>5.5581637272549694E-2</v>
      </c>
    </row>
    <row r="23" spans="8:9" x14ac:dyDescent="0.35">
      <c r="H23">
        <v>1.8</v>
      </c>
      <c r="I23" s="19">
        <f ca="1"/>
        <v>5.5581637272549694E-2</v>
      </c>
    </row>
    <row r="24" spans="8:9" x14ac:dyDescent="0.35">
      <c r="H24">
        <v>1.9000000000000001</v>
      </c>
      <c r="I24" s="19">
        <f ca="1"/>
        <v>5.5581637272549694E-2</v>
      </c>
    </row>
    <row r="25" spans="8:9" x14ac:dyDescent="0.35">
      <c r="H25">
        <v>2</v>
      </c>
      <c r="I25" s="19">
        <f ca="1"/>
        <v>5.5581637272549694E-2</v>
      </c>
    </row>
    <row r="26" spans="8:9" x14ac:dyDescent="0.35">
      <c r="H26">
        <v>2.1</v>
      </c>
      <c r="I26" s="19">
        <f ca="1"/>
        <v>4.2939744506772057E-2</v>
      </c>
    </row>
    <row r="27" spans="8:9" x14ac:dyDescent="0.35">
      <c r="H27">
        <v>2.2000000000000002</v>
      </c>
      <c r="I27" s="19">
        <f ca="1"/>
        <v>4.2939744506772057E-2</v>
      </c>
    </row>
    <row r="28" spans="8:9" x14ac:dyDescent="0.35">
      <c r="H28">
        <v>2.3000000000000003</v>
      </c>
      <c r="I28" s="19">
        <f ca="1"/>
        <v>4.2939744506772057E-2</v>
      </c>
    </row>
    <row r="29" spans="8:9" x14ac:dyDescent="0.35">
      <c r="H29">
        <v>2.4000000000000004</v>
      </c>
      <c r="I29" s="19">
        <f ca="1"/>
        <v>4.2939744506772057E-2</v>
      </c>
    </row>
    <row r="30" spans="8:9" x14ac:dyDescent="0.35">
      <c r="H30">
        <v>2.5</v>
      </c>
      <c r="I30" s="19">
        <f ca="1"/>
        <v>4.2939744506772057E-2</v>
      </c>
    </row>
    <row r="31" spans="8:9" x14ac:dyDescent="0.35">
      <c r="H31">
        <v>2.6</v>
      </c>
      <c r="I31" s="19">
        <f ca="1"/>
        <v>4.2939744506772057E-2</v>
      </c>
    </row>
    <row r="32" spans="8:9" x14ac:dyDescent="0.35">
      <c r="H32">
        <v>2.7</v>
      </c>
      <c r="I32" s="19">
        <f ca="1"/>
        <v>4.2939744506772057E-2</v>
      </c>
    </row>
    <row r="33" spans="8:9" x14ac:dyDescent="0.35">
      <c r="H33">
        <v>2.8000000000000003</v>
      </c>
      <c r="I33" s="19">
        <f ca="1"/>
        <v>4.2939744506772057E-2</v>
      </c>
    </row>
    <row r="34" spans="8:9" x14ac:dyDescent="0.35">
      <c r="H34">
        <v>2.9000000000000004</v>
      </c>
      <c r="I34" s="19">
        <f ca="1"/>
        <v>4.2939744506772057E-2</v>
      </c>
    </row>
    <row r="35" spans="8:9" x14ac:dyDescent="0.35">
      <c r="H35">
        <v>3</v>
      </c>
      <c r="I35" s="19">
        <f ca="1"/>
        <v>4.2939744506772057E-2</v>
      </c>
    </row>
    <row r="36" spans="8:9" x14ac:dyDescent="0.35">
      <c r="H36">
        <v>3.1</v>
      </c>
      <c r="I36" s="19">
        <f ca="1"/>
        <v>4.9416364400681617E-2</v>
      </c>
    </row>
    <row r="37" spans="8:9" x14ac:dyDescent="0.35">
      <c r="H37">
        <v>3.2</v>
      </c>
      <c r="I37" s="19">
        <f ca="1"/>
        <v>4.9416364400681617E-2</v>
      </c>
    </row>
    <row r="38" spans="8:9" x14ac:dyDescent="0.35">
      <c r="H38">
        <v>3.3000000000000003</v>
      </c>
      <c r="I38" s="19">
        <f ca="1"/>
        <v>4.9416364400681617E-2</v>
      </c>
    </row>
    <row r="39" spans="8:9" x14ac:dyDescent="0.35">
      <c r="H39">
        <v>3.4000000000000004</v>
      </c>
      <c r="I39" s="19">
        <f ca="1"/>
        <v>4.9416364400681617E-2</v>
      </c>
    </row>
    <row r="40" spans="8:9" x14ac:dyDescent="0.35">
      <c r="H40">
        <v>3.5</v>
      </c>
      <c r="I40" s="19">
        <f ca="1"/>
        <v>4.9416364400681617E-2</v>
      </c>
    </row>
    <row r="41" spans="8:9" x14ac:dyDescent="0.35">
      <c r="H41">
        <v>3.6</v>
      </c>
      <c r="I41" s="19">
        <f ca="1"/>
        <v>4.9416364400681617E-2</v>
      </c>
    </row>
    <row r="42" spans="8:9" x14ac:dyDescent="0.35">
      <c r="H42">
        <v>3.7</v>
      </c>
      <c r="I42" s="19">
        <f ca="1"/>
        <v>4.9416364400681617E-2</v>
      </c>
    </row>
    <row r="43" spans="8:9" x14ac:dyDescent="0.35">
      <c r="H43">
        <v>3.8000000000000003</v>
      </c>
      <c r="I43" s="19">
        <f ca="1"/>
        <v>4.9416364400681617E-2</v>
      </c>
    </row>
    <row r="44" spans="8:9" x14ac:dyDescent="0.35">
      <c r="H44">
        <v>3.9000000000000004</v>
      </c>
      <c r="I44" s="19">
        <f ca="1"/>
        <v>4.9416364400681617E-2</v>
      </c>
    </row>
    <row r="45" spans="8:9" x14ac:dyDescent="0.35">
      <c r="H45">
        <v>4</v>
      </c>
      <c r="I45" s="19">
        <f ca="1"/>
        <v>4.9416364400681617E-2</v>
      </c>
    </row>
    <row r="46" spans="8:9" x14ac:dyDescent="0.35">
      <c r="H46">
        <v>4.1000000000000005</v>
      </c>
      <c r="I46" s="19">
        <f ca="1"/>
        <v>4.9283017362986459E-2</v>
      </c>
    </row>
    <row r="47" spans="8:9" x14ac:dyDescent="0.35">
      <c r="H47">
        <v>4.2</v>
      </c>
      <c r="I47" s="19">
        <f ca="1"/>
        <v>4.9283017362986459E-2</v>
      </c>
    </row>
    <row r="48" spans="8:9" x14ac:dyDescent="0.35">
      <c r="H48">
        <v>4.3</v>
      </c>
      <c r="I48" s="19">
        <f ca="1"/>
        <v>4.9283017362986459E-2</v>
      </c>
    </row>
    <row r="49" spans="8:9" x14ac:dyDescent="0.35">
      <c r="H49">
        <v>4.4000000000000004</v>
      </c>
      <c r="I49" s="19">
        <f ca="1"/>
        <v>4.9283017362986459E-2</v>
      </c>
    </row>
    <row r="50" spans="8:9" x14ac:dyDescent="0.35">
      <c r="H50">
        <v>4.5</v>
      </c>
      <c r="I50" s="19">
        <f ca="1"/>
        <v>4.9283017362986459E-2</v>
      </c>
    </row>
    <row r="51" spans="8:9" x14ac:dyDescent="0.35">
      <c r="H51">
        <v>4.6000000000000005</v>
      </c>
      <c r="I51" s="19">
        <f ca="1"/>
        <v>4.9283017362986459E-2</v>
      </c>
    </row>
    <row r="52" spans="8:9" x14ac:dyDescent="0.35">
      <c r="H52">
        <v>4.7</v>
      </c>
      <c r="I52" s="19">
        <f ca="1"/>
        <v>4.9283017362986459E-2</v>
      </c>
    </row>
    <row r="53" spans="8:9" x14ac:dyDescent="0.35">
      <c r="H53">
        <v>4.8000000000000007</v>
      </c>
      <c r="I53" s="19">
        <f ca="1"/>
        <v>4.9283017362986459E-2</v>
      </c>
    </row>
    <row r="54" spans="8:9" x14ac:dyDescent="0.35">
      <c r="H54">
        <v>4.9000000000000004</v>
      </c>
      <c r="I54" s="19">
        <f ca="1"/>
        <v>4.9283017362986459E-2</v>
      </c>
    </row>
    <row r="55" spans="8:9" x14ac:dyDescent="0.35">
      <c r="H55">
        <v>5</v>
      </c>
      <c r="I55" s="19">
        <f ca="1"/>
        <v>4.9283017362986459E-2</v>
      </c>
    </row>
    <row r="56" spans="8:9" x14ac:dyDescent="0.35">
      <c r="H56">
        <v>5.1000000000000005</v>
      </c>
      <c r="I56" s="19">
        <f ca="1"/>
        <v>4.9416357720753049E-2</v>
      </c>
    </row>
    <row r="57" spans="8:9" x14ac:dyDescent="0.35">
      <c r="H57">
        <v>5.2</v>
      </c>
      <c r="I57" s="19">
        <f ca="1"/>
        <v>4.9416357720753049E-2</v>
      </c>
    </row>
    <row r="58" spans="8:9" x14ac:dyDescent="0.35">
      <c r="H58">
        <v>5.3000000000000007</v>
      </c>
      <c r="I58" s="19">
        <f ca="1"/>
        <v>4.9416357720753049E-2</v>
      </c>
    </row>
    <row r="59" spans="8:9" x14ac:dyDescent="0.35">
      <c r="H59">
        <v>5.4</v>
      </c>
      <c r="I59" s="19">
        <f ca="1"/>
        <v>4.9416357720753049E-2</v>
      </c>
    </row>
    <row r="60" spans="8:9" x14ac:dyDescent="0.35">
      <c r="H60">
        <v>5.5</v>
      </c>
      <c r="I60" s="19">
        <f ca="1"/>
        <v>4.9416357720753049E-2</v>
      </c>
    </row>
    <row r="61" spans="8:9" x14ac:dyDescent="0.35">
      <c r="H61">
        <v>5.6000000000000005</v>
      </c>
      <c r="I61" s="19">
        <f ca="1"/>
        <v>4.9416357720753049E-2</v>
      </c>
    </row>
    <row r="62" spans="8:9" x14ac:dyDescent="0.35">
      <c r="H62">
        <v>5.7</v>
      </c>
      <c r="I62" s="19">
        <f ca="1"/>
        <v>4.9416357720753049E-2</v>
      </c>
    </row>
    <row r="63" spans="8:9" x14ac:dyDescent="0.35">
      <c r="H63">
        <v>5.8000000000000007</v>
      </c>
      <c r="I63" s="19">
        <f ca="1"/>
        <v>4.9416357720753049E-2</v>
      </c>
    </row>
    <row r="64" spans="8:9" x14ac:dyDescent="0.35">
      <c r="H64">
        <v>5.9</v>
      </c>
      <c r="I64" s="19">
        <f ca="1"/>
        <v>4.9416357720753049E-2</v>
      </c>
    </row>
    <row r="65" spans="8:9" x14ac:dyDescent="0.35">
      <c r="H65">
        <v>6</v>
      </c>
      <c r="I65" s="19">
        <f ca="1"/>
        <v>4.9416357720753049E-2</v>
      </c>
    </row>
    <row r="66" spans="8:9" x14ac:dyDescent="0.35">
      <c r="H66">
        <v>6.1000000000000005</v>
      </c>
      <c r="I66" s="19">
        <f ca="1"/>
        <v>4.9416357720753049E-2</v>
      </c>
    </row>
    <row r="67" spans="8:9" x14ac:dyDescent="0.35">
      <c r="H67">
        <v>6.2</v>
      </c>
      <c r="I67" s="19">
        <f ca="1"/>
        <v>4.9416357720753049E-2</v>
      </c>
    </row>
    <row r="68" spans="8:9" x14ac:dyDescent="0.35">
      <c r="H68">
        <v>6.3000000000000007</v>
      </c>
      <c r="I68" s="19">
        <f ca="1"/>
        <v>4.9416357720753049E-2</v>
      </c>
    </row>
    <row r="69" spans="8:9" x14ac:dyDescent="0.35">
      <c r="H69">
        <v>6.4</v>
      </c>
      <c r="I69" s="19">
        <f ca="1"/>
        <v>4.9416357720753049E-2</v>
      </c>
    </row>
    <row r="70" spans="8:9" x14ac:dyDescent="0.35">
      <c r="H70">
        <v>6.5</v>
      </c>
      <c r="I70" s="19">
        <f ca="1"/>
        <v>4.9416357720753049E-2</v>
      </c>
    </row>
    <row r="71" spans="8:9" x14ac:dyDescent="0.35">
      <c r="H71">
        <v>6.6000000000000005</v>
      </c>
      <c r="I71" s="19">
        <f ca="1"/>
        <v>4.9416357720753049E-2</v>
      </c>
    </row>
    <row r="72" spans="8:9" x14ac:dyDescent="0.35">
      <c r="H72">
        <v>6.7</v>
      </c>
      <c r="I72" s="19">
        <f ca="1"/>
        <v>4.9416357720753049E-2</v>
      </c>
    </row>
    <row r="73" spans="8:9" x14ac:dyDescent="0.35">
      <c r="H73">
        <v>6.8000000000000007</v>
      </c>
      <c r="I73" s="19">
        <f ca="1"/>
        <v>4.9416357720753049E-2</v>
      </c>
    </row>
    <row r="74" spans="8:9" x14ac:dyDescent="0.35">
      <c r="H74">
        <v>6.9</v>
      </c>
      <c r="I74" s="19">
        <f ca="1"/>
        <v>4.9416357720753049E-2</v>
      </c>
    </row>
    <row r="75" spans="8:9" x14ac:dyDescent="0.35">
      <c r="H75">
        <v>7</v>
      </c>
      <c r="I75" s="19">
        <f ca="1"/>
        <v>4.9416357720753049E-2</v>
      </c>
    </row>
    <row r="76" spans="8:9" x14ac:dyDescent="0.35">
      <c r="H76">
        <v>7.1000000000000005</v>
      </c>
      <c r="I76" s="19">
        <f ca="1"/>
        <v>4.9416357720753049E-2</v>
      </c>
    </row>
    <row r="77" spans="8:9" x14ac:dyDescent="0.35">
      <c r="H77">
        <v>7.2</v>
      </c>
      <c r="I77" s="19">
        <f ca="1"/>
        <v>4.9416357720753049E-2</v>
      </c>
    </row>
    <row r="78" spans="8:9" x14ac:dyDescent="0.35">
      <c r="H78">
        <v>7.3000000000000007</v>
      </c>
      <c r="I78" s="19">
        <f ca="1"/>
        <v>4.9416357720753049E-2</v>
      </c>
    </row>
    <row r="79" spans="8:9" x14ac:dyDescent="0.35">
      <c r="H79">
        <v>7.4</v>
      </c>
      <c r="I79" s="19">
        <f ca="1"/>
        <v>4.9416357720753049E-2</v>
      </c>
    </row>
    <row r="80" spans="8:9" x14ac:dyDescent="0.35">
      <c r="H80">
        <v>7.5</v>
      </c>
      <c r="I80" s="19">
        <f ca="1"/>
        <v>4.9416357720753049E-2</v>
      </c>
    </row>
    <row r="81" spans="8:9" x14ac:dyDescent="0.35">
      <c r="H81">
        <v>7.6000000000000005</v>
      </c>
      <c r="I81" s="19">
        <f ca="1"/>
        <v>4.9416357720753049E-2</v>
      </c>
    </row>
    <row r="82" spans="8:9" x14ac:dyDescent="0.35">
      <c r="H82">
        <v>7.7</v>
      </c>
      <c r="I82" s="19">
        <f ca="1"/>
        <v>4.9416357720753049E-2</v>
      </c>
    </row>
    <row r="83" spans="8:9" x14ac:dyDescent="0.35">
      <c r="H83">
        <v>7.8000000000000007</v>
      </c>
      <c r="I83" s="19">
        <f ca="1"/>
        <v>4.9416357720753049E-2</v>
      </c>
    </row>
    <row r="84" spans="8:9" x14ac:dyDescent="0.35">
      <c r="H84">
        <v>7.9</v>
      </c>
      <c r="I84" s="19">
        <f ca="1"/>
        <v>4.9416357720753049E-2</v>
      </c>
    </row>
    <row r="85" spans="8:9" x14ac:dyDescent="0.35">
      <c r="H85">
        <v>8</v>
      </c>
      <c r="I85" s="19">
        <f ca="1"/>
        <v>4.9416357720753049E-2</v>
      </c>
    </row>
    <row r="86" spans="8:9" x14ac:dyDescent="0.35">
      <c r="H86">
        <v>8.1</v>
      </c>
      <c r="I86" s="19">
        <f ca="1"/>
        <v>4.9283035687614794E-2</v>
      </c>
    </row>
    <row r="87" spans="8:9" x14ac:dyDescent="0.35">
      <c r="H87">
        <v>8.2000000000000011</v>
      </c>
      <c r="I87" s="19">
        <f ca="1"/>
        <v>4.9283035687614794E-2</v>
      </c>
    </row>
    <row r="88" spans="8:9" x14ac:dyDescent="0.35">
      <c r="H88">
        <v>8.3000000000000007</v>
      </c>
      <c r="I88" s="19">
        <f ca="1"/>
        <v>4.9283035687614794E-2</v>
      </c>
    </row>
    <row r="89" spans="8:9" x14ac:dyDescent="0.35">
      <c r="H89">
        <v>8.4</v>
      </c>
      <c r="I89" s="19">
        <f ca="1"/>
        <v>4.9283035687614794E-2</v>
      </c>
    </row>
    <row r="90" spans="8:9" x14ac:dyDescent="0.35">
      <c r="H90">
        <v>8.5</v>
      </c>
      <c r="I90" s="19">
        <f ca="1"/>
        <v>4.9283035687614794E-2</v>
      </c>
    </row>
    <row r="91" spans="8:9" x14ac:dyDescent="0.35">
      <c r="H91">
        <v>8.6</v>
      </c>
      <c r="I91" s="19">
        <f ca="1"/>
        <v>4.9283035687614794E-2</v>
      </c>
    </row>
    <row r="92" spans="8:9" x14ac:dyDescent="0.35">
      <c r="H92">
        <v>8.7000000000000011</v>
      </c>
      <c r="I92" s="19">
        <f ca="1"/>
        <v>4.9283035687614794E-2</v>
      </c>
    </row>
    <row r="93" spans="8:9" x14ac:dyDescent="0.35">
      <c r="H93">
        <v>8.8000000000000007</v>
      </c>
      <c r="I93" s="19">
        <f ca="1"/>
        <v>4.9283035687614794E-2</v>
      </c>
    </row>
    <row r="94" spans="8:9" x14ac:dyDescent="0.35">
      <c r="H94">
        <v>8.9</v>
      </c>
      <c r="I94" s="19">
        <f ca="1"/>
        <v>4.9283035687614794E-2</v>
      </c>
    </row>
    <row r="95" spans="8:9" x14ac:dyDescent="0.35">
      <c r="H95">
        <v>9</v>
      </c>
      <c r="I95" s="19">
        <f ca="1"/>
        <v>4.9283035687614794E-2</v>
      </c>
    </row>
    <row r="96" spans="8:9" x14ac:dyDescent="0.35">
      <c r="H96">
        <v>9.1</v>
      </c>
      <c r="I96" s="19">
        <f ca="1"/>
        <v>4.9416357721872965E-2</v>
      </c>
    </row>
    <row r="97" spans="8:9" x14ac:dyDescent="0.35">
      <c r="H97">
        <v>9.2000000000000011</v>
      </c>
      <c r="I97" s="19">
        <f ca="1"/>
        <v>4.9416357721872965E-2</v>
      </c>
    </row>
    <row r="98" spans="8:9" x14ac:dyDescent="0.35">
      <c r="H98">
        <v>9.3000000000000007</v>
      </c>
      <c r="I98" s="19">
        <f ca="1"/>
        <v>4.9416357721872965E-2</v>
      </c>
    </row>
    <row r="99" spans="8:9" x14ac:dyDescent="0.35">
      <c r="H99">
        <v>9.4</v>
      </c>
      <c r="I99" s="19">
        <f ca="1"/>
        <v>4.9416357721872965E-2</v>
      </c>
    </row>
    <row r="100" spans="8:9" x14ac:dyDescent="0.35">
      <c r="H100">
        <v>9.5</v>
      </c>
      <c r="I100" s="19">
        <f ca="1"/>
        <v>4.9416357721872965E-2</v>
      </c>
    </row>
    <row r="101" spans="8:9" x14ac:dyDescent="0.35">
      <c r="H101">
        <v>9.6000000000000014</v>
      </c>
      <c r="I101" s="19">
        <f ca="1"/>
        <v>4.9416357721872965E-2</v>
      </c>
    </row>
    <row r="102" spans="8:9" x14ac:dyDescent="0.35">
      <c r="H102">
        <v>9.7000000000000011</v>
      </c>
      <c r="I102" s="19">
        <f ca="1"/>
        <v>4.9416357721872965E-2</v>
      </c>
    </row>
    <row r="103" spans="8:9" x14ac:dyDescent="0.35">
      <c r="H103">
        <v>9.8000000000000007</v>
      </c>
      <c r="I103" s="19">
        <f ca="1"/>
        <v>4.9416357721872965E-2</v>
      </c>
    </row>
    <row r="104" spans="8:9" x14ac:dyDescent="0.35">
      <c r="H104">
        <v>9.9</v>
      </c>
      <c r="I104" s="19">
        <f ca="1"/>
        <v>4.9416357721872965E-2</v>
      </c>
    </row>
    <row r="105" spans="8:9" x14ac:dyDescent="0.35">
      <c r="H105">
        <v>10</v>
      </c>
      <c r="I105" s="19">
        <f ca="1"/>
        <v>4.9416357721872965E-2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tabSelected="1" workbookViewId="0">
      <selection activeCell="E9" sqref="E9"/>
    </sheetView>
  </sheetViews>
  <sheetFormatPr defaultRowHeight="18" x14ac:dyDescent="0.35"/>
  <cols>
    <col min="1" max="1" width="3.6640625" customWidth="1"/>
    <col min="4" max="4" width="10.6640625" customWidth="1"/>
    <col min="5" max="5" width="12.33203125" bestFit="1" customWidth="1"/>
  </cols>
  <sheetData>
    <row r="2" spans="2:5" x14ac:dyDescent="0.35">
      <c r="B2" s="3" t="s">
        <v>65</v>
      </c>
      <c r="C2" s="8">
        <v>0.1</v>
      </c>
    </row>
    <row r="3" spans="2:5" x14ac:dyDescent="0.35">
      <c r="B3" s="3" t="s">
        <v>48</v>
      </c>
      <c r="C3" s="8">
        <v>0.01</v>
      </c>
    </row>
    <row r="4" spans="2:5" x14ac:dyDescent="0.35">
      <c r="B4" s="3" t="s">
        <v>47</v>
      </c>
      <c r="C4" s="8">
        <v>1</v>
      </c>
    </row>
    <row r="5" spans="2:5" x14ac:dyDescent="0.35">
      <c r="B5" s="3" t="s">
        <v>49</v>
      </c>
      <c r="C5" s="8">
        <v>2</v>
      </c>
    </row>
    <row r="6" spans="2:5" x14ac:dyDescent="0.35">
      <c r="B6" s="3" t="s">
        <v>67</v>
      </c>
      <c r="C6">
        <f ca="1">_xlfn.NORM.S.INV(RAND())</f>
        <v>-0.80584347825979419</v>
      </c>
    </row>
    <row r="7" spans="2:5" x14ac:dyDescent="0.35">
      <c r="B7" s="3" t="s">
        <v>51</v>
      </c>
      <c r="C7">
        <f>EXP(-φ*t + σ^2*t^3/6)</f>
        <v>0.90485249878526608</v>
      </c>
    </row>
    <row r="8" spans="2:5" ht="18.600000000000001" thickBot="1" x14ac:dyDescent="0.4">
      <c r="B8" s="3" t="s">
        <v>52</v>
      </c>
      <c r="C8">
        <f>EXP(-φ*u + σ^2*u^3/6)</f>
        <v>0.81883992445632237</v>
      </c>
    </row>
    <row r="9" spans="2:5" ht="19.2" thickTop="1" thickBot="1" x14ac:dyDescent="0.4">
      <c r="B9" s="3" t="s">
        <v>66</v>
      </c>
      <c r="C9">
        <f ca="1">EXP(-φ*t+Z*SQRT(t)*(σ^2)*(t^3)/6)</f>
        <v>0.90482526549536502</v>
      </c>
      <c r="D9" cm="1">
        <f t="array" aca="1" ref="D9" ca="1">_xll.MONTE.MEAN(C9)</f>
        <v>0.90483751647513344</v>
      </c>
      <c r="E9" s="16">
        <f ca="1">D9-Dt</f>
        <v>-1.498231013263851E-5</v>
      </c>
    </row>
    <row r="10" spans="2:5" ht="18.600000000000001" thickTop="1" x14ac:dyDescent="0.35">
      <c r="B10" s="3" t="s">
        <v>50</v>
      </c>
      <c r="C10">
        <f ca="1">EXP(-φ*(u-t) + (σ^2)*((u-t)^3)/6 - σ*(u-t)*Z*SQRT(t))</f>
        <v>0.91217365253600768</v>
      </c>
    </row>
    <row r="11" spans="2:5" x14ac:dyDescent="0.35">
      <c r="B11" s="3" t="s">
        <v>56</v>
      </c>
      <c r="C11">
        <f ca="1">LN(C10)</f>
        <v>-9.1924898550735407E-2</v>
      </c>
    </row>
    <row r="12" spans="2:5" ht="18.600000000000001" thickBot="1" x14ac:dyDescent="0.4">
      <c r="B12" s="9" t="s">
        <v>53</v>
      </c>
      <c r="C12" cm="1">
        <f t="array" ref="C12">_xll.TMX.HO_LEE.ED(Dt, Du, t, u, σ)</f>
        <v>0.90489774254128974</v>
      </c>
      <c r="D12" s="15" cm="1">
        <f t="array" aca="1" ref="D12" ca="1">_xll.MONTE.MEAN(C10)</f>
        <v>0.90483886884293963</v>
      </c>
    </row>
    <row r="13" spans="2:5" ht="19.2" thickTop="1" thickBot="1" x14ac:dyDescent="0.4">
      <c r="B13" s="9" t="s">
        <v>54</v>
      </c>
      <c r="C13" cm="1">
        <f t="array" ref="C13">_xll.TMX.HO_LEE.ELogD(Dt, Du, t, u, σ)</f>
        <v>-9.9983333333333452E-2</v>
      </c>
      <c r="D13" s="15">
        <f t="array" aca="1" ref="D13:D14" ca="1">_xll.MONTE.STDEV(logD)</f>
        <v>-0.10004852505796966</v>
      </c>
      <c r="E13" s="6">
        <f ca="1">D13-C13</f>
        <v>-6.5191724636204373E-5</v>
      </c>
    </row>
    <row r="14" spans="2:5" ht="19.2" thickTop="1" thickBot="1" x14ac:dyDescent="0.4">
      <c r="B14" s="9" t="s">
        <v>55</v>
      </c>
      <c r="C14" cm="1">
        <f t="array" ref="C14">_xll.TMX.HO_LEE.VarLogD(t, u, σ)</f>
        <v>1E-4</v>
      </c>
      <c r="D14" s="15">
        <f ca="1"/>
        <v>1.0012740436646801E-2</v>
      </c>
      <c r="E14" s="15"/>
    </row>
    <row r="15" spans="2:5" ht="19.2" thickTop="1" thickBot="1" x14ac:dyDescent="0.4">
      <c r="D15" s="15">
        <f ca="1">D14^2</f>
        <v>1.0025497105166198E-4</v>
      </c>
      <c r="E15" s="6">
        <f ca="1">D15-C14</f>
        <v>2.5497105166197341E-7</v>
      </c>
    </row>
    <row r="16" spans="2:5" ht="18.600000000000001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43</vt:i4>
      </vt:variant>
    </vt:vector>
  </HeadingPairs>
  <TitlesOfParts>
    <vt:vector size="50" baseType="lpstr">
      <vt:lpstr>Enum</vt:lpstr>
      <vt:lpstr>Black</vt:lpstr>
      <vt:lpstr>Date</vt:lpstr>
      <vt:lpstr>Curve</vt:lpstr>
      <vt:lpstr>Bond</vt:lpstr>
      <vt:lpstr>Bootstrap</vt:lpstr>
      <vt:lpstr>Ho-Lee</vt:lpstr>
      <vt:lpstr>B_t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2023-07-07T03:24:27Z</dcterms:modified>
</cp:coreProperties>
</file>