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5B23B65D-7DEC-4311-93F2-7E9847C7069C}" xr6:coauthVersionLast="47" xr6:coauthVersionMax="47" xr10:uidLastSave="{00000000-0000-0000-0000-000000000000}"/>
  <bookViews>
    <workbookView xWindow="1500" yWindow="1350" windowWidth="27030" windowHeight="14130" activeTab="5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Bootstrap!$E$7:$E$16</definedName>
    <definedName name="bond.simple">Bond!$C$6</definedName>
    <definedName name="coupon" localSheetId="4">Bond!$C$3</definedName>
    <definedName name="coupon">Bootstrap!$C$7:$C$16</definedName>
    <definedName name="curve" localSheetId="3">Curve!$I$2</definedName>
    <definedName name="curve">Bootstrap!$G$6</definedName>
    <definedName name="curve_">Curve!$I$6</definedName>
    <definedName name="date">Date!$C$2</definedName>
    <definedName name="dated" localSheetId="4">Bond!$C$7</definedName>
    <definedName name="dated">Bootstrap!$C$4</definedName>
    <definedName name="day_count" localSheetId="4">Bond!$C$5</definedName>
    <definedName name="days">Date!$C$10</definedName>
    <definedName name="Dt">'Ho-Lee'!$C$6</definedName>
    <definedName name="Du">'Ho-Lee'!$C$7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Bootstrap!$F$7:$F$16</definedName>
    <definedName name="k">Black!$C$4</definedName>
    <definedName name="logD">'Ho-Lee'!$C$9</definedName>
    <definedName name="maturity" localSheetId="4">Bond!$C$2</definedName>
    <definedName name="maturity">Bootstrap!$B$7:$B$16</definedName>
    <definedName name="months">Date!$C$9</definedName>
    <definedName name="price">Bootstrap!$D$7:$D$16</definedName>
    <definedName name="r_">'Ho-Lee'!$C$2</definedName>
    <definedName name="rate">Curve!$C$3:$C$5</definedName>
    <definedName name="s">Black!$C$3</definedName>
    <definedName name="shift">Curve!$I$3</definedName>
    <definedName name="t">'Ho-Lee'!$C$4</definedName>
    <definedName name="time">Curve!$B$3:$B$5</definedName>
    <definedName name="translate">Curve!$I$5</definedName>
    <definedName name="u">'Ho-Lee'!$C$5</definedName>
    <definedName name="years">Date!$C$3</definedName>
    <definedName name="years_">Date!$C$8</definedName>
    <definedName name="σ">'Ho-Lee'!$C$3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2" i="6"/>
  <c r="C7" i="7"/>
  <c r="C6" i="7"/>
  <c r="C8" i="7"/>
  <c r="C9" i="7" s="1"/>
  <c r="E5" i="6"/>
  <c r="C3" i="3"/>
  <c r="C8" i="1"/>
  <c r="C7" i="5"/>
  <c r="K3" i="3" a="1"/>
  <c r="K3" i="3" s="1"/>
  <c r="C11" i="7" a="1"/>
  <c r="E7" i="4" a="1"/>
  <c r="C12" i="7" a="1"/>
  <c r="C6" i="5" a="1"/>
  <c r="C3" i="4" a="1"/>
  <c r="C5" i="4" a="1"/>
  <c r="E6" i="4" a="1"/>
  <c r="E4" i="4" a="1"/>
  <c r="E7" i="1" a="1"/>
  <c r="C6" i="4" a="1"/>
  <c r="E5" i="4" a="1"/>
  <c r="C4" i="4" a="1"/>
  <c r="C10" i="7" a="1"/>
  <c r="E3" i="4" a="1"/>
  <c r="C7" i="6" a="1"/>
  <c r="C9" i="6" a="1"/>
  <c r="D11" i="7" a="1"/>
  <c r="C5" i="6" a="1"/>
  <c r="C6" i="6" a="1"/>
  <c r="I2" i="3" a="1"/>
  <c r="D10" i="7" a="1"/>
  <c r="C8" i="6" a="1"/>
  <c r="D6" i="6" a="1"/>
  <c r="D9" i="6" a="1"/>
  <c r="C6" i="5" l="1"/>
  <c r="I2" i="3"/>
  <c r="E7" i="7"/>
  <c r="C9" i="6"/>
  <c r="C8" i="6"/>
  <c r="C12" i="7"/>
  <c r="E12" i="7" s="1"/>
  <c r="D12" i="7"/>
  <c r="D11" i="7"/>
  <c r="C11" i="7"/>
  <c r="D10" i="7"/>
  <c r="C10" i="7"/>
  <c r="D9" i="6"/>
  <c r="D6" i="6"/>
  <c r="C7" i="6"/>
  <c r="C5" i="6"/>
  <c r="C6" i="6"/>
  <c r="E7" i="1"/>
  <c r="E7" i="4"/>
  <c r="E6" i="4"/>
  <c r="E5" i="4"/>
  <c r="E4" i="4"/>
  <c r="E3" i="4"/>
  <c r="C6" i="4"/>
  <c r="C5" i="4"/>
  <c r="C4" i="4"/>
  <c r="C3" i="4"/>
  <c r="C3" i="2"/>
  <c r="C2" i="2"/>
  <c r="H7" i="1" a="1"/>
  <c r="H7" i="1" s="1"/>
  <c r="D2" i="5" a="1"/>
  <c r="N36" i="3" a="1"/>
  <c r="N33" i="3" a="1"/>
  <c r="M3" i="3" a="1"/>
  <c r="N41" i="3" a="1"/>
  <c r="N4" i="3" a="1"/>
  <c r="L27" i="3" a="1"/>
  <c r="L41" i="3" a="1"/>
  <c r="M28" i="3" a="1"/>
  <c r="L18" i="3" a="1"/>
  <c r="M4" i="3" a="1"/>
  <c r="M35" i="3" a="1"/>
  <c r="L15" i="3" a="1"/>
  <c r="N31" i="3" a="1"/>
  <c r="L14" i="3" a="1"/>
  <c r="M8" i="3" a="1"/>
  <c r="M39" i="3" a="1"/>
  <c r="N16" i="3" a="1"/>
  <c r="L37" i="3" a="1"/>
  <c r="M15" i="3" a="1"/>
  <c r="N39" i="3" a="1"/>
  <c r="L13" i="3" a="1"/>
  <c r="M12" i="3" a="1"/>
  <c r="N40" i="3" a="1"/>
  <c r="L32" i="3" a="1"/>
  <c r="M22" i="3" a="1"/>
  <c r="E3" i="3" a="1"/>
  <c r="L21" i="3" a="1"/>
  <c r="N25" i="3" a="1"/>
  <c r="L10" i="3" a="1"/>
  <c r="L11" i="3" a="1"/>
  <c r="M38" i="3" a="1"/>
  <c r="N23" i="3" a="1"/>
  <c r="M25" i="3" a="1"/>
  <c r="N30" i="3" a="1"/>
  <c r="N11" i="3" a="1"/>
  <c r="N5" i="3" a="1"/>
  <c r="L9" i="3" a="1"/>
  <c r="N15" i="3" a="1"/>
  <c r="N29" i="3" a="1"/>
  <c r="N28" i="3" a="1"/>
  <c r="C4" i="2" a="1"/>
  <c r="M42" i="3" a="1"/>
  <c r="N35" i="3" a="1"/>
  <c r="L43" i="3" a="1"/>
  <c r="M36" i="3" a="1"/>
  <c r="M26" i="3" a="1"/>
  <c r="L16" i="3" a="1"/>
  <c r="L24" i="3" a="1"/>
  <c r="L4" i="3" a="1"/>
  <c r="L35" i="3" a="1"/>
  <c r="N43" i="3" a="1"/>
  <c r="M10" i="3" a="1"/>
  <c r="L42" i="3" a="1"/>
  <c r="M29" i="3" a="1"/>
  <c r="L38" i="3" a="1"/>
  <c r="E6" i="6" a="1"/>
  <c r="N21" i="3" a="1"/>
  <c r="M14" i="3" a="1"/>
  <c r="N24" i="3" a="1"/>
  <c r="L23" i="3" a="1"/>
  <c r="M21" i="3" a="1"/>
  <c r="N8" i="3" a="1"/>
  <c r="L36" i="3" a="1"/>
  <c r="M33" i="3" a="1"/>
  <c r="N3" i="3" a="1"/>
  <c r="N32" i="3" a="1"/>
  <c r="L29" i="3" a="1"/>
  <c r="N27" i="3" a="1"/>
  <c r="N10" i="3" a="1"/>
  <c r="L7" i="3" a="1"/>
  <c r="N22" i="3" a="1"/>
  <c r="C8" i="5" a="1"/>
  <c r="N26" i="3" a="1"/>
  <c r="L19" i="3" a="1"/>
  <c r="N19" i="3" a="1"/>
  <c r="M11" i="3" a="1"/>
  <c r="L34" i="3" a="1"/>
  <c r="L8" i="3" a="1"/>
  <c r="N13" i="3" a="1"/>
  <c r="L26" i="3" a="1"/>
  <c r="L31" i="3" a="1"/>
  <c r="N42" i="3" a="1"/>
  <c r="M24" i="3" a="1"/>
  <c r="N14" i="3" a="1"/>
  <c r="L39" i="3" a="1"/>
  <c r="N38" i="3" a="1"/>
  <c r="N20" i="3" a="1"/>
  <c r="M43" i="3" a="1"/>
  <c r="M32" i="3" a="1"/>
  <c r="M30" i="3" a="1"/>
  <c r="N17" i="3" a="1"/>
  <c r="L33" i="3" a="1"/>
  <c r="M13" i="3" a="1"/>
  <c r="M18" i="3" a="1"/>
  <c r="L20" i="3" a="1"/>
  <c r="M40" i="3" a="1"/>
  <c r="N7" i="3" a="1"/>
  <c r="M31" i="3" a="1"/>
  <c r="M7" i="3" a="1"/>
  <c r="M16" i="3" a="1"/>
  <c r="M41" i="3" a="1"/>
  <c r="L17" i="3" a="1"/>
  <c r="N9" i="3" a="1"/>
  <c r="L28" i="3" a="1"/>
  <c r="M37" i="3" a="1"/>
  <c r="L6" i="3" a="1"/>
  <c r="M27" i="3" a="1"/>
  <c r="N37" i="3" a="1"/>
  <c r="N18" i="3" a="1"/>
  <c r="L5" i="3" a="1"/>
  <c r="M6" i="3" a="1"/>
  <c r="N12" i="3" a="1"/>
  <c r="C11" i="2" a="1"/>
  <c r="N6" i="3" a="1"/>
  <c r="M20" i="3" a="1"/>
  <c r="L25" i="3" a="1"/>
  <c r="L22" i="3" a="1"/>
  <c r="M19" i="3" a="1"/>
  <c r="L30" i="3" a="1"/>
  <c r="N34" i="3" a="1"/>
  <c r="M23" i="3" a="1"/>
  <c r="L3" i="3" a="1"/>
  <c r="M17" i="3" a="1"/>
  <c r="M9" i="3" a="1"/>
  <c r="M34" i="3" a="1"/>
  <c r="L12" i="3" a="1"/>
  <c r="M5" i="3" a="1"/>
  <c r="L40" i="3" a="1"/>
  <c r="L4" i="3" l="1"/>
  <c r="L8" i="3"/>
  <c r="L12" i="3"/>
  <c r="L16" i="3"/>
  <c r="L20" i="3"/>
  <c r="L24" i="3"/>
  <c r="L28" i="3"/>
  <c r="L32" i="3"/>
  <c r="L36" i="3"/>
  <c r="L40" i="3"/>
  <c r="L5" i="3"/>
  <c r="L9" i="3"/>
  <c r="L13" i="3"/>
  <c r="L17" i="3"/>
  <c r="L21" i="3"/>
  <c r="L25" i="3"/>
  <c r="L29" i="3"/>
  <c r="L33" i="3"/>
  <c r="L37" i="3"/>
  <c r="L41" i="3"/>
  <c r="L6" i="3"/>
  <c r="L10" i="3"/>
  <c r="L14" i="3"/>
  <c r="L18" i="3"/>
  <c r="L22" i="3"/>
  <c r="L26" i="3"/>
  <c r="L30" i="3"/>
  <c r="L34" i="3"/>
  <c r="L38" i="3"/>
  <c r="L42" i="3"/>
  <c r="L23" i="3"/>
  <c r="L31" i="3"/>
  <c r="L39" i="3"/>
  <c r="L7" i="3"/>
  <c r="L11" i="3"/>
  <c r="L15" i="3"/>
  <c r="L19" i="3"/>
  <c r="L27" i="3"/>
  <c r="L35" i="3"/>
  <c r="L43" i="3"/>
  <c r="M4" i="3"/>
  <c r="M16" i="3"/>
  <c r="M32" i="3"/>
  <c r="M13" i="3"/>
  <c r="M25" i="3"/>
  <c r="M29" i="3"/>
  <c r="M33" i="3"/>
  <c r="M10" i="3"/>
  <c r="M14" i="3"/>
  <c r="M22" i="3"/>
  <c r="M26" i="3"/>
  <c r="M34" i="3"/>
  <c r="M38" i="3"/>
  <c r="M39" i="3"/>
  <c r="M8" i="3"/>
  <c r="M20" i="3"/>
  <c r="M28" i="3"/>
  <c r="M40" i="3"/>
  <c r="M5" i="3"/>
  <c r="M21" i="3"/>
  <c r="M41" i="3"/>
  <c r="M6" i="3"/>
  <c r="M18" i="3"/>
  <c r="M30" i="3"/>
  <c r="M42" i="3"/>
  <c r="M12" i="3"/>
  <c r="M24" i="3"/>
  <c r="M36" i="3"/>
  <c r="M7" i="3"/>
  <c r="M11" i="3"/>
  <c r="M15" i="3"/>
  <c r="M19" i="3"/>
  <c r="M23" i="3"/>
  <c r="M27" i="3"/>
  <c r="M31" i="3"/>
  <c r="M35" i="3"/>
  <c r="M43" i="3"/>
  <c r="M9" i="3"/>
  <c r="M17" i="3"/>
  <c r="M37" i="3"/>
  <c r="N4" i="3"/>
  <c r="N24" i="3"/>
  <c r="N5" i="3"/>
  <c r="N9" i="3"/>
  <c r="N13" i="3"/>
  <c r="N17" i="3"/>
  <c r="N21" i="3"/>
  <c r="N25" i="3"/>
  <c r="N29" i="3"/>
  <c r="N33" i="3"/>
  <c r="N41" i="3"/>
  <c r="N43" i="3"/>
  <c r="N12" i="3"/>
  <c r="N20" i="3"/>
  <c r="N32" i="3"/>
  <c r="N37" i="3"/>
  <c r="N40" i="3"/>
  <c r="N10" i="3"/>
  <c r="N14" i="3"/>
  <c r="N22" i="3"/>
  <c r="N30" i="3"/>
  <c r="N38" i="3"/>
  <c r="N42" i="3"/>
  <c r="N11" i="3"/>
  <c r="N15" i="3"/>
  <c r="N23" i="3"/>
  <c r="N27" i="3"/>
  <c r="N35" i="3"/>
  <c r="N36" i="3"/>
  <c r="N6" i="3"/>
  <c r="N18" i="3"/>
  <c r="N26" i="3"/>
  <c r="N34" i="3"/>
  <c r="N7" i="3"/>
  <c r="N19" i="3"/>
  <c r="N31" i="3"/>
  <c r="N39" i="3"/>
  <c r="N8" i="3"/>
  <c r="N16" i="3"/>
  <c r="N28" i="3"/>
  <c r="N3" i="3"/>
  <c r="M3" i="3"/>
  <c r="L3" i="3"/>
  <c r="E3" i="3"/>
  <c r="E6" i="6"/>
  <c r="D8" i="6" s="1"/>
  <c r="E8" i="6" s="1"/>
  <c r="E9" i="6"/>
  <c r="E11" i="7"/>
  <c r="C8" i="5"/>
  <c r="D2" i="5"/>
  <c r="C11" i="2"/>
  <c r="D10" i="2" s="1"/>
  <c r="C4" i="2"/>
  <c r="D4" i="2" s="1"/>
  <c r="E16" i="1" a="1"/>
  <c r="E14" i="1" a="1"/>
  <c r="E2" i="5" a="1"/>
  <c r="E12" i="1" a="1"/>
  <c r="E13" i="1" a="1"/>
  <c r="E11" i="1" a="1"/>
  <c r="E9" i="1" a="1"/>
  <c r="E10" i="1" a="1"/>
  <c r="E15" i="1" a="1"/>
  <c r="E8" i="1" a="1"/>
  <c r="C5" i="2" a="1"/>
  <c r="C9" i="5" a="1"/>
  <c r="C6" i="2" a="1"/>
  <c r="C14" i="5" a="1"/>
  <c r="D7" i="6" l="1"/>
  <c r="E7" i="6" s="1"/>
  <c r="C9" i="5"/>
  <c r="C14" i="5"/>
  <c r="E2" i="5"/>
  <c r="D9" i="2"/>
  <c r="D8" i="2"/>
  <c r="C6" i="2"/>
  <c r="C5" i="2"/>
  <c r="D5" i="2" s="1"/>
  <c r="E10" i="1"/>
  <c r="E12" i="1"/>
  <c r="E16" i="1"/>
  <c r="E8" i="1"/>
  <c r="E13" i="1"/>
  <c r="E14" i="1"/>
  <c r="E15" i="1"/>
  <c r="E11" i="1"/>
  <c r="E9" i="1"/>
  <c r="F16" i="1" a="1"/>
  <c r="F14" i="1" a="1"/>
  <c r="F11" i="1" a="1"/>
  <c r="F9" i="1" a="1"/>
  <c r="F2" i="5" a="1"/>
  <c r="F13" i="1" a="1"/>
  <c r="F12" i="1" a="1"/>
  <c r="F10" i="1" a="1"/>
  <c r="F7" i="1" a="1"/>
  <c r="F15" i="1" a="1"/>
  <c r="F8" i="1" a="1"/>
  <c r="C7" i="2" a="1"/>
  <c r="C12" i="5" a="1"/>
  <c r="E14" i="5" a="1"/>
  <c r="C12" i="5" l="1"/>
  <c r="E14" i="5"/>
  <c r="G3" i="5"/>
  <c r="G4" i="5"/>
  <c r="G5" i="5"/>
  <c r="F2" i="5"/>
  <c r="G2" i="5" s="1"/>
  <c r="C7" i="2"/>
  <c r="D7" i="2" s="1"/>
  <c r="F15" i="1"/>
  <c r="F7" i="1"/>
  <c r="F13" i="1"/>
  <c r="F14" i="1"/>
  <c r="F8" i="1"/>
  <c r="F16" i="1"/>
  <c r="F9" i="1"/>
  <c r="F12" i="1"/>
  <c r="F11" i="1"/>
  <c r="F10" i="1"/>
  <c r="G6" i="1" a="1"/>
  <c r="G6" i="1" l="1"/>
  <c r="I7" i="1" a="1"/>
  <c r="I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<sst xmlns="http://schemas.openxmlformats.org/spreadsheetml/2006/main" count="72" uniqueCount="60">
  <si>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</si>
  <si>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</si>
  <si>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</si>
  <si>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</si>
  <si>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</si>
  <si>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</si>
  <si>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</si>
  <si>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</si>
  <si>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</si>
  <si>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</si>
  <si>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</si>
  <si>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</si>
  <si>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</si>
  <si>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</si>
  <si>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</si>
  <si>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</si>
  <si>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</si>
  <si>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</si>
  <si>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</si>
  <si>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</si>
  <si>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spot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</si>
  <si>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</si>
  <si>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</si>
  <si>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</si>
  <si>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</si>
  <si>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</si>
  <si>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</si>
  <si>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</si>
  <si>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</si>
  <si>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</si>
  <si>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</si>
  <si>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</si>
  <si>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</si>
  <si>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</si>
  <si>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</si>
  <si>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</si>
  <si>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</si>
  <si>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</si>
  <si>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</si>
  <si>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</si>
  <si>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</si>
  <si>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</si>
  <si>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</si>
  <si>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</si>
  <si>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</si>
  <si>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</si>
  <si>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</si>
  <si>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</si>
  <si>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</si>
  <si>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</si>
  <si>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r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</si>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</sst>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0"/>
    <numFmt numFmtId="166" formatCode="0.000%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0" fontId="0" fillId="0" borderId="0" xfId="0" quotePrefix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0.44590820304886092</c:v>
                </c:pt>
                <c:pt idx="1">
                  <c:v>0.44590820304886092</c:v>
                </c:pt>
                <c:pt idx="2">
                  <c:v>0.44590820304886092</c:v>
                </c:pt>
                <c:pt idx="3">
                  <c:v>0.44590820304886092</c:v>
                </c:pt>
                <c:pt idx="4">
                  <c:v>0.44590820304886092</c:v>
                </c:pt>
                <c:pt idx="5">
                  <c:v>0.44590820304886092</c:v>
                </c:pt>
                <c:pt idx="6">
                  <c:v>0.44590820304886092</c:v>
                </c:pt>
                <c:pt idx="7">
                  <c:v>0.44590820304886092</c:v>
                </c:pt>
                <c:pt idx="8">
                  <c:v>0.44590820304886092</c:v>
                </c:pt>
                <c:pt idx="9">
                  <c:v>0.44590820304886092</c:v>
                </c:pt>
                <c:pt idx="10">
                  <c:v>0.44590820304886092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0.44590820304886092</c:v>
                </c:pt>
                <c:pt idx="1">
                  <c:v>0.44590820304886092</c:v>
                </c:pt>
                <c:pt idx="2">
                  <c:v>0.44590820304886092</c:v>
                </c:pt>
                <c:pt idx="3">
                  <c:v>0.44590820304886092</c:v>
                </c:pt>
                <c:pt idx="4">
                  <c:v>0.44590820304886092</c:v>
                </c:pt>
                <c:pt idx="5">
                  <c:v>0.44590820304886092</c:v>
                </c:pt>
                <c:pt idx="6">
                  <c:v>0.44590820304886092</c:v>
                </c:pt>
                <c:pt idx="7">
                  <c:v>0.44590820304886092</c:v>
                </c:pt>
                <c:pt idx="8">
                  <c:v>0.44590820304886092</c:v>
                </c:pt>
                <c:pt idx="9">
                  <c:v>0.44590820304886092</c:v>
                </c:pt>
                <c:pt idx="10">
                  <c:v>0.44590820304886092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0.95638873663254687</c:v>
                </c:pt>
                <c:pt idx="2">
                  <c:v>0.91467941555759913</c:v>
                </c:pt>
                <c:pt idx="3">
                  <c:v>0.87478909066892863</c:v>
                </c:pt>
                <c:pt idx="4">
                  <c:v>0.83663843324479115</c:v>
                </c:pt>
                <c:pt idx="5">
                  <c:v>0.80015157418921923</c:v>
                </c:pt>
                <c:pt idx="6">
                  <c:v>0.76525595315337103</c:v>
                </c:pt>
                <c:pt idx="7">
                  <c:v>0.73188217423688795</c:v>
                </c:pt>
                <c:pt idx="8">
                  <c:v>0.69996386798229893</c:v>
                </c:pt>
                <c:pt idx="9">
                  <c:v>0.66943755938802163</c:v>
                </c:pt>
                <c:pt idx="10">
                  <c:v>0.64024254167748562</c:v>
                </c:pt>
                <c:pt idx="11">
                  <c:v>0.62756488994681636</c:v>
                </c:pt>
                <c:pt idx="12">
                  <c:v>0.61513827253976938</c:v>
                </c:pt>
                <c:pt idx="13">
                  <c:v>0.60295771864369108</c:v>
                </c:pt>
                <c:pt idx="14">
                  <c:v>0.59101835587461382</c:v>
                </c:pt>
                <c:pt idx="15">
                  <c:v>0.57931540832823625</c:v>
                </c:pt>
                <c:pt idx="16">
                  <c:v>0.56784419466949843</c:v>
                </c:pt>
                <c:pt idx="17">
                  <c:v>0.55660012625998523</c:v>
                </c:pt>
                <c:pt idx="18">
                  <c:v>0.54557870532240993</c:v>
                </c:pt>
                <c:pt idx="19">
                  <c:v>0.5347755231414435</c:v>
                </c:pt>
                <c:pt idx="20">
                  <c:v>0.52418625830016885</c:v>
                </c:pt>
                <c:pt idx="21">
                  <c:v>0.50869421311490348</c:v>
                </c:pt>
                <c:pt idx="22">
                  <c:v>0.49366002705933104</c:v>
                </c:pt>
                <c:pt idx="23">
                  <c:v>0.47907016835116351</c:v>
                </c:pt>
                <c:pt idx="24">
                  <c:v>0.46491150513271845</c:v>
                </c:pt>
                <c:pt idx="25">
                  <c:v>0.45117129365136094</c:v>
                </c:pt>
                <c:pt idx="26">
                  <c:v>0.43783716678926565</c:v>
                </c:pt>
                <c:pt idx="27">
                  <c:v>0.42489712293217602</c:v>
                </c:pt>
                <c:pt idx="28">
                  <c:v>0.41233951516714162</c:v>
                </c:pt>
                <c:pt idx="29">
                  <c:v>0.40015304079950992</c:v>
                </c:pt>
                <c:pt idx="30">
                  <c:v>0.38832673117973826</c:v>
                </c:pt>
                <c:pt idx="31">
                  <c:v>0.37310022225803574</c:v>
                </c:pt>
                <c:pt idx="32">
                  <c:v>0.35847075329090528</c:v>
                </c:pt>
                <c:pt idx="33">
                  <c:v>0.34441491400687974</c:v>
                </c:pt>
                <c:pt idx="34">
                  <c:v>0.33091021206436555</c:v>
                </c:pt>
                <c:pt idx="35">
                  <c:v>0.31793503705909815</c:v>
                </c:pt>
                <c:pt idx="36">
                  <c:v>0.30546862594288399</c:v>
                </c:pt>
                <c:pt idx="37">
                  <c:v>0.29349102979829428</c:v>
                </c:pt>
                <c:pt idx="38">
                  <c:v>0.28198308191614097</c:v>
                </c:pt>
                <c:pt idx="39">
                  <c:v>0.27092636712465268</c:v>
                </c:pt>
                <c:pt idx="40">
                  <c:v>0.26030319232127141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General</c:formatCode>
                <c:ptCount val="101"/>
                <c:pt idx="0">
                  <c:v>4.9283011639120938E-2</c:v>
                </c:pt>
                <c:pt idx="1">
                  <c:v>4.9283011639120938E-2</c:v>
                </c:pt>
                <c:pt idx="2">
                  <c:v>4.9283011639120938E-2</c:v>
                </c:pt>
                <c:pt idx="3">
                  <c:v>4.9283011639120938E-2</c:v>
                </c:pt>
                <c:pt idx="4">
                  <c:v>4.9283011639120938E-2</c:v>
                </c:pt>
                <c:pt idx="5">
                  <c:v>4.9283011639120938E-2</c:v>
                </c:pt>
                <c:pt idx="6">
                  <c:v>4.9283011639120938E-2</c:v>
                </c:pt>
                <c:pt idx="7">
                  <c:v>4.9283011639120938E-2</c:v>
                </c:pt>
                <c:pt idx="8">
                  <c:v>4.9283011639120938E-2</c:v>
                </c:pt>
                <c:pt idx="9">
                  <c:v>4.9283011639120938E-2</c:v>
                </c:pt>
                <c:pt idx="10">
                  <c:v>4.9283011639120938E-2</c:v>
                </c:pt>
                <c:pt idx="11">
                  <c:v>6.1135468364413588E-2</c:v>
                </c:pt>
                <c:pt idx="12">
                  <c:v>6.1135468364413588E-2</c:v>
                </c:pt>
                <c:pt idx="13">
                  <c:v>6.1135468364413588E-2</c:v>
                </c:pt>
                <c:pt idx="14">
                  <c:v>6.1135468364413588E-2</c:v>
                </c:pt>
                <c:pt idx="15">
                  <c:v>6.1135468364413588E-2</c:v>
                </c:pt>
                <c:pt idx="16">
                  <c:v>6.1135468364413588E-2</c:v>
                </c:pt>
                <c:pt idx="17">
                  <c:v>6.1135468364413588E-2</c:v>
                </c:pt>
                <c:pt idx="18">
                  <c:v>6.1135468364413588E-2</c:v>
                </c:pt>
                <c:pt idx="19">
                  <c:v>6.1135468364413588E-2</c:v>
                </c:pt>
                <c:pt idx="20">
                  <c:v>6.1135468364413588E-2</c:v>
                </c:pt>
                <c:pt idx="21">
                  <c:v>3.7106733153595917E-2</c:v>
                </c:pt>
                <c:pt idx="22">
                  <c:v>3.7106733153595917E-2</c:v>
                </c:pt>
                <c:pt idx="23">
                  <c:v>3.7106733153595917E-2</c:v>
                </c:pt>
                <c:pt idx="24">
                  <c:v>3.7106733153595917E-2</c:v>
                </c:pt>
                <c:pt idx="25">
                  <c:v>3.7106733153595917E-2</c:v>
                </c:pt>
                <c:pt idx="26">
                  <c:v>3.7106733153595917E-2</c:v>
                </c:pt>
                <c:pt idx="27">
                  <c:v>3.7106733153595917E-2</c:v>
                </c:pt>
                <c:pt idx="28">
                  <c:v>3.7106733153595917E-2</c:v>
                </c:pt>
                <c:pt idx="29">
                  <c:v>3.7106733153595917E-2</c:v>
                </c:pt>
                <c:pt idx="30">
                  <c:v>3.7106733153595917E-2</c:v>
                </c:pt>
                <c:pt idx="31">
                  <c:v>4.9416346883645927E-2</c:v>
                </c:pt>
                <c:pt idx="32">
                  <c:v>4.9416346883645927E-2</c:v>
                </c:pt>
                <c:pt idx="33">
                  <c:v>4.9416346883645927E-2</c:v>
                </c:pt>
                <c:pt idx="34">
                  <c:v>4.9416346883645927E-2</c:v>
                </c:pt>
                <c:pt idx="35">
                  <c:v>4.9416346883645927E-2</c:v>
                </c:pt>
                <c:pt idx="36">
                  <c:v>4.9416346883645927E-2</c:v>
                </c:pt>
                <c:pt idx="37">
                  <c:v>4.9416346883645927E-2</c:v>
                </c:pt>
                <c:pt idx="38">
                  <c:v>4.9416346883645927E-2</c:v>
                </c:pt>
                <c:pt idx="39">
                  <c:v>4.9416346883645927E-2</c:v>
                </c:pt>
                <c:pt idx="40">
                  <c:v>4.9416346883645927E-2</c:v>
                </c:pt>
                <c:pt idx="41">
                  <c:v>4.9283034281338421E-2</c:v>
                </c:pt>
                <c:pt idx="42">
                  <c:v>4.9283034281338421E-2</c:v>
                </c:pt>
                <c:pt idx="43">
                  <c:v>4.9283034281338421E-2</c:v>
                </c:pt>
                <c:pt idx="44">
                  <c:v>4.9283034281338421E-2</c:v>
                </c:pt>
                <c:pt idx="45">
                  <c:v>4.9283034281338421E-2</c:v>
                </c:pt>
                <c:pt idx="46">
                  <c:v>4.9283034281338421E-2</c:v>
                </c:pt>
                <c:pt idx="47">
                  <c:v>4.9283034281338421E-2</c:v>
                </c:pt>
                <c:pt idx="48">
                  <c:v>4.9283034281338421E-2</c:v>
                </c:pt>
                <c:pt idx="49">
                  <c:v>4.9283034281338421E-2</c:v>
                </c:pt>
                <c:pt idx="50">
                  <c:v>4.9283034281338421E-2</c:v>
                </c:pt>
                <c:pt idx="51">
                  <c:v>4.9416357722100471E-2</c:v>
                </c:pt>
                <c:pt idx="52">
                  <c:v>4.9416357722100471E-2</c:v>
                </c:pt>
                <c:pt idx="53">
                  <c:v>4.9416357722100471E-2</c:v>
                </c:pt>
                <c:pt idx="54">
                  <c:v>4.9416357722100471E-2</c:v>
                </c:pt>
                <c:pt idx="55">
                  <c:v>4.9416357722100471E-2</c:v>
                </c:pt>
                <c:pt idx="56">
                  <c:v>4.9416357722100471E-2</c:v>
                </c:pt>
                <c:pt idx="57">
                  <c:v>4.9416357722100471E-2</c:v>
                </c:pt>
                <c:pt idx="58">
                  <c:v>4.9416357722100471E-2</c:v>
                </c:pt>
                <c:pt idx="59">
                  <c:v>4.9416357722100471E-2</c:v>
                </c:pt>
                <c:pt idx="60">
                  <c:v>4.9416357722100471E-2</c:v>
                </c:pt>
                <c:pt idx="61">
                  <c:v>4.9416357722100471E-2</c:v>
                </c:pt>
                <c:pt idx="62">
                  <c:v>4.9416357722100471E-2</c:v>
                </c:pt>
                <c:pt idx="63">
                  <c:v>4.9416357722100471E-2</c:v>
                </c:pt>
                <c:pt idx="64">
                  <c:v>4.9416357722100471E-2</c:v>
                </c:pt>
                <c:pt idx="65">
                  <c:v>4.9416357722100471E-2</c:v>
                </c:pt>
                <c:pt idx="66">
                  <c:v>4.9416357722100471E-2</c:v>
                </c:pt>
                <c:pt idx="67">
                  <c:v>4.9416357722100471E-2</c:v>
                </c:pt>
                <c:pt idx="68">
                  <c:v>4.9416357722100471E-2</c:v>
                </c:pt>
                <c:pt idx="69">
                  <c:v>4.9416357722100471E-2</c:v>
                </c:pt>
                <c:pt idx="70">
                  <c:v>4.9416357722100471E-2</c:v>
                </c:pt>
                <c:pt idx="71">
                  <c:v>4.9416357722100471E-2</c:v>
                </c:pt>
                <c:pt idx="72">
                  <c:v>4.9416357722100471E-2</c:v>
                </c:pt>
                <c:pt idx="73">
                  <c:v>4.9416357722100471E-2</c:v>
                </c:pt>
                <c:pt idx="74">
                  <c:v>4.9416357722100471E-2</c:v>
                </c:pt>
                <c:pt idx="75">
                  <c:v>4.9416357722100471E-2</c:v>
                </c:pt>
                <c:pt idx="76">
                  <c:v>4.9416357722100471E-2</c:v>
                </c:pt>
                <c:pt idx="77">
                  <c:v>4.9416357722100471E-2</c:v>
                </c:pt>
                <c:pt idx="78">
                  <c:v>4.9416357722100471E-2</c:v>
                </c:pt>
                <c:pt idx="79">
                  <c:v>4.9416357722100471E-2</c:v>
                </c:pt>
                <c:pt idx="80">
                  <c:v>4.9416357722100471E-2</c:v>
                </c:pt>
                <c:pt idx="81">
                  <c:v>4.9283035684261692E-2</c:v>
                </c:pt>
                <c:pt idx="82">
                  <c:v>4.9283035684261692E-2</c:v>
                </c:pt>
                <c:pt idx="83">
                  <c:v>4.9283035684261692E-2</c:v>
                </c:pt>
                <c:pt idx="84">
                  <c:v>4.9283035684261692E-2</c:v>
                </c:pt>
                <c:pt idx="85">
                  <c:v>4.9283035684261692E-2</c:v>
                </c:pt>
                <c:pt idx="86">
                  <c:v>4.9283035684261692E-2</c:v>
                </c:pt>
                <c:pt idx="87">
                  <c:v>4.9283035684261692E-2</c:v>
                </c:pt>
                <c:pt idx="88">
                  <c:v>4.9283035684261692E-2</c:v>
                </c:pt>
                <c:pt idx="89">
                  <c:v>4.9283035684261692E-2</c:v>
                </c:pt>
                <c:pt idx="90">
                  <c:v>4.9283035684261692E-2</c:v>
                </c:pt>
                <c:pt idx="91">
                  <c:v>4.9416357721872757E-2</c:v>
                </c:pt>
                <c:pt idx="92">
                  <c:v>4.9416357721872757E-2</c:v>
                </c:pt>
                <c:pt idx="93">
                  <c:v>4.9416357721872757E-2</c:v>
                </c:pt>
                <c:pt idx="94">
                  <c:v>4.9416357721872757E-2</c:v>
                </c:pt>
                <c:pt idx="95">
                  <c:v>4.9416357721872757E-2</c:v>
                </c:pt>
                <c:pt idx="96">
                  <c:v>4.9416357721872757E-2</c:v>
                </c:pt>
                <c:pt idx="97">
                  <c:v>4.9416357721872757E-2</c:v>
                </c:pt>
                <c:pt idx="98">
                  <c:v>4.9416357721872757E-2</c:v>
                </c:pt>
                <c:pt idx="99">
                  <c:v>4.9416357721872757E-2</c:v>
                </c:pt>
                <c:pt idx="100">
                  <c:v>4.9416357721872757E-2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369570</xdr:colOff>
      <xdr:row>1</xdr:row>
      <xdr:rowOff>95250</xdr:rowOff>
    </xdr:from>
    <xdr:to>
      <xdr:col>19</xdr:col>
      <xdr:colOff>445770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4</xdr:row>
      <xdr:rowOff>230333</xdr:rowOff>
    </xdr:from>
    <xdr:to>
      <xdr:col>14</xdr:col>
      <xdr:colOff>554182</xdr:colOff>
      <xdr:row>16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E3" sqref="E3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</cols>
  <sheetData>
    <row r="2" spans="2:5" x14ac:dyDescent="0.3">
      <c r="B2" s="1" t="s">
        <v>22</v>
      </c>
      <c r="C2" s="1"/>
      <c r="D2" s="1" t="s">
        <v>23</v>
      </c>
    </row>
    <row r="3" spans="2:5" x14ac:dyDescent="0.3">
      <c r="B3" t="s">
        <v>24</v>
      </c>
      <c r="C3" cm="1">
        <f t="array" ref="C3">_xll.TMX_FREQUENCY_ANNUALLY()</f>
        <v>12</v>
      </c>
      <c r="D3" t="s">
        <v>28</v>
      </c>
      <c r="E3" s="5" cm="1">
        <f t="array" ref="E3">_xll.TMX_DAY_COUNT_30_360()</f>
        <v>140716933985319</v>
      </c>
    </row>
    <row r="4" spans="2:5" x14ac:dyDescent="0.3">
      <c r="B4" t="s">
        <v>25</v>
      </c>
      <c r="C4" cm="1">
        <f t="array" ref="C4">_xll.TMX_FREQUENCY_SEMIANNUALLY()</f>
        <v>6</v>
      </c>
      <c r="D4" t="s">
        <v>29</v>
      </c>
      <c r="E4" s="5" cm="1">
        <f t="array" ref="E4">_xll.TMX_DAY_COUNT_ACTUAL_360()</f>
        <v>140716933978109</v>
      </c>
    </row>
    <row r="5" spans="2:5" x14ac:dyDescent="0.3">
      <c r="B5" t="s">
        <v>26</v>
      </c>
      <c r="C5" cm="1">
        <f t="array" ref="C5">_xll.TMX_FREQUENCY_QUARTERLY()</f>
        <v>3</v>
      </c>
      <c r="D5" t="s">
        <v>30</v>
      </c>
      <c r="E5" s="5" cm="1">
        <f t="array" ref="E5">_xll.TMX_DAY_COUNT_ACTUAL_365()</f>
        <v>140716933983714</v>
      </c>
    </row>
    <row r="6" spans="2:5" x14ac:dyDescent="0.3">
      <c r="B6" t="s">
        <v>27</v>
      </c>
      <c r="C6" cm="1">
        <f t="array" ref="C6">_xll.TMX_FREQUENCY_MONTHLY()</f>
        <v>1</v>
      </c>
      <c r="D6" t="s">
        <v>31</v>
      </c>
      <c r="E6" s="5" cm="1">
        <f t="array" ref="E6">_xll.TMX_DAY_COUNT_ACTUAL_ACTUAL()</f>
        <v>140716933988844</v>
      </c>
    </row>
    <row r="7" spans="2:5" x14ac:dyDescent="0.3">
      <c r="D7" t="s">
        <v>32</v>
      </c>
      <c r="E7" s="5" cm="1">
        <f t="array" ref="E7">_xll.TMX_DAY_COUNT_YEARS()</f>
        <v>140716934019969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E9"/>
  <sheetViews>
    <sheetView workbookViewId="0"/>
  </sheetViews>
  <sheetFormatPr defaultRowHeight="18.75" x14ac:dyDescent="0.3"/>
  <cols>
    <col min="1" max="1" width="3.69921875" customWidth="1"/>
    <col min="5" max="5" width="12.296875" bestFit="1" customWidth="1"/>
  </cols>
  <sheetData>
    <row r="2" spans="2:5" x14ac:dyDescent="0.3">
      <c r="B2" s="3" t="s">
        <v>42</v>
      </c>
      <c r="C2" s="9">
        <f ca="1">50 + 100*RAND()</f>
        <v>145.86052910603851</v>
      </c>
    </row>
    <row r="3" spans="2:5" x14ac:dyDescent="0.3">
      <c r="B3" s="3" t="s">
        <v>43</v>
      </c>
      <c r="C3" s="9">
        <f ca="1">0.01 + 0.3*RAND()</f>
        <v>0.18511975216460372</v>
      </c>
    </row>
    <row r="4" spans="2:5" x14ac:dyDescent="0.3">
      <c r="B4" s="3" t="s">
        <v>44</v>
      </c>
      <c r="C4" s="9">
        <f ca="1">50 + 100*RAND()</f>
        <v>55.980843645557123</v>
      </c>
    </row>
    <row r="5" spans="2:5" x14ac:dyDescent="0.3">
      <c r="B5" s="10" t="s">
        <v>45</v>
      </c>
      <c r="C5" cm="1">
        <f t="array" aca="1" ref="C5" ca="1">_xll.TMX.BLACK.MONEYNESS(f, s, k)</f>
        <v>-5.0805311603354619</v>
      </c>
      <c r="D5">
        <v>1E-3</v>
      </c>
      <c r="E5">
        <f>-D5</f>
        <v>-1E-3</v>
      </c>
    </row>
    <row r="6" spans="2:5" ht="18" customHeight="1" x14ac:dyDescent="0.3">
      <c r="B6" s="10" t="s">
        <v>19</v>
      </c>
      <c r="C6" cm="1">
        <f t="array" aca="1" ref="C6" ca="1">_xll.TMX.BLACK.PUT.VALUE(f, s, k)</f>
        <v>3.4717799517452494E-7</v>
      </c>
      <c r="D6" cm="1">
        <f t="array" aca="1" ref="D6" ca="1">_xll.TMX.BLACK.PUT.VALUE(f + D5, s, k)</f>
        <v>3.4710815547916958E-7</v>
      </c>
      <c r="E6" cm="1">
        <f t="array" aca="1" ref="E6" ca="1">_xll.TMX.BLACK.PUT.VALUE(f + E5, s, k)</f>
        <v>3.4724785096782786E-7</v>
      </c>
    </row>
    <row r="7" spans="2:5" x14ac:dyDescent="0.3">
      <c r="B7" s="10" t="s">
        <v>46</v>
      </c>
      <c r="C7" cm="1">
        <f t="array" aca="1" ref="C7" ca="1">_xll.TMX.BLACK.PUT.DELTA(f, s, k)</f>
        <v>-6.9846754879865358E-8</v>
      </c>
      <c r="D7">
        <f ca="1">(D6-E6)/(D5-E5)</f>
        <v>-6.9847744329144432E-8</v>
      </c>
      <c r="E7">
        <f ca="1">(C7-D7)/C7</f>
        <v>-1.4166002139628762E-5</v>
      </c>
    </row>
    <row r="8" spans="2:5" x14ac:dyDescent="0.3">
      <c r="B8" s="10" t="s">
        <v>47</v>
      </c>
      <c r="C8" cm="1">
        <f t="array" aca="1" ref="C8" ca="1">_xll.TMX.BLACK.GAMMA(f, s, k)</f>
        <v>1.4081882004129341E-8</v>
      </c>
      <c r="D8">
        <f ca="1">(D6-2*C6+E6)/(D5^2)</f>
        <v>1.6097947559928598E-8</v>
      </c>
      <c r="E8">
        <f t="shared" ref="E8:E9" ca="1" si="0">(C8-D8)/C8</f>
        <v>-0.14316733766183173</v>
      </c>
    </row>
    <row r="9" spans="2:5" x14ac:dyDescent="0.3">
      <c r="B9" s="10" t="s">
        <v>48</v>
      </c>
      <c r="C9" cm="1">
        <f t="array" aca="1" ref="C9" ca="1">_xll.TMX.BLACK.VEGA(f, s, k)</f>
        <v>5.5461170410101093E-5</v>
      </c>
      <c r="D9" cm="1">
        <f t="array" aca="1" ref="D9" ca="1">(_xll.TMX.BLACK.PUT.VALUE(f, s + D5, k) - _xll.TMX.BLACK.PUT.VALUE(f, s + E5, k))/(D5 - E5)</f>
        <v>5.5632643249401951E-5</v>
      </c>
      <c r="E9">
        <f t="shared" ca="1" si="0"/>
        <v>-3.0917638057928122E-3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10" sqref="C10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45102</v>
      </c>
    </row>
    <row r="3" spans="2:4" x14ac:dyDescent="0.3">
      <c r="B3" s="3" t="s">
        <v>9</v>
      </c>
      <c r="C3" s="9">
        <f ca="1">10*RAND()</f>
        <v>9.2171310908858395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48468.487997685188</v>
      </c>
      <c r="D4">
        <f ca="1">C4</f>
        <v>48468.487997685188</v>
      </c>
    </row>
    <row r="5" spans="2:4" ht="20.25" thickTop="1" thickBot="1" x14ac:dyDescent="0.35">
      <c r="B5" s="3"/>
      <c r="C5" s="2" cm="1">
        <f t="array" aca="1" ref="C5" ca="1">_xll.TMX.DATE.ADD_YEARS(C4,-years)</f>
        <v>45102.000000000007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9.215794985523317</v>
      </c>
    </row>
    <row r="7" spans="2:4" ht="19.5" thickBot="1" x14ac:dyDescent="0.35">
      <c r="B7" s="3"/>
      <c r="C7" s="2" cm="1">
        <f t="array" aca="1" ref="C7" ca="1">_xll.TMX.DATE.ADD_YEARS(date,C6)</f>
        <v>48468</v>
      </c>
      <c r="D7">
        <f ca="1">C7</f>
        <v>48468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45532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N43"/>
  <sheetViews>
    <sheetView zoomScale="110" zoomScaleNormal="110" workbookViewId="0">
      <selection activeCell="K2" sqref="K2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4" x14ac:dyDescent="0.3">
      <c r="B2" s="1" t="s">
        <v>16</v>
      </c>
      <c r="C2" s="1" t="s">
        <v>17</v>
      </c>
      <c r="H2" s="3" t="s">
        <v>7</v>
      </c>
      <c r="I2" s="5" cm="1">
        <f t="array" aca="1" ref="I2" ca="1">_xll.\TMX.PWFLAT.CURVE(time, rate, extrapolate)</f>
        <v>1934059856320</v>
      </c>
      <c r="K2" s="1" t="s">
        <v>16</v>
      </c>
      <c r="L2" s="1" t="s">
        <v>35</v>
      </c>
      <c r="M2" s="1" t="s">
        <v>20</v>
      </c>
      <c r="N2" s="1" t="s">
        <v>21</v>
      </c>
    </row>
    <row r="3" spans="2:14" x14ac:dyDescent="0.3">
      <c r="B3" s="9">
        <v>1</v>
      </c>
      <c r="C3" s="15">
        <f ca="1">RAND()</f>
        <v>0.44590820304886092</v>
      </c>
      <c r="E3" cm="1">
        <f t="array" aca="1" ref="E3:F6" ca="1">TRANSPOSE(_xll.TMX.PWFLAT.CURVE(curve))</f>
        <v>1</v>
      </c>
      <c r="F3" s="16">
        <f ca="1"/>
        <v>0.44590820304886092</v>
      </c>
      <c r="G3" s="16"/>
      <c r="H3" s="3"/>
      <c r="K3" cm="1">
        <f t="array" ref="K3:K43">_xlfn.SEQUENCE(1+4/0.1,1,0,0.1)</f>
        <v>0</v>
      </c>
      <c r="L3" cm="1">
        <f t="array" aca="1" ref="L3" ca="1">_xll.TMX.PWFLAT.CURVE.FORWARD(curve,K3)</f>
        <v>0.44590820304886092</v>
      </c>
      <c r="M3" cm="1">
        <f t="array" aca="1" ref="M3" ca="1">_xll.TMX.PWFLAT.CURVE.SPOT(curve,K3)</f>
        <v>0.44590820304886092</v>
      </c>
      <c r="N3" cm="1">
        <f t="array" aca="1" ref="N3" ca="1">_xll.TMX.PWFLAT.CURVE.DISCOUNT(curve,K3)</f>
        <v>1</v>
      </c>
    </row>
    <row r="4" spans="2:14" x14ac:dyDescent="0.3">
      <c r="B4" s="9">
        <v>2</v>
      </c>
      <c r="C4" s="9">
        <v>0.2</v>
      </c>
      <c r="E4">
        <f ca="1"/>
        <v>2</v>
      </c>
      <c r="F4">
        <f ca="1"/>
        <v>0.2</v>
      </c>
      <c r="I4" s="5"/>
      <c r="K4">
        <v>0.1</v>
      </c>
      <c r="L4" cm="1">
        <f t="array" aca="1" ref="L4" ca="1">_xll.TMX.PWFLAT.CURVE.FORWARD(curve,K4)</f>
        <v>0.44590820304886092</v>
      </c>
      <c r="M4" cm="1">
        <f t="array" aca="1" ref="M4" ca="1">_xll.TMX.PWFLAT.CURVE.SPOT(curve,K4)</f>
        <v>0.44590820304886092</v>
      </c>
      <c r="N4" cm="1">
        <f t="array" aca="1" ref="N4" ca="1">_xll.TMX.PWFLAT.CURVE.DISCOUNT(curve,K4)</f>
        <v>0.95638873663254687</v>
      </c>
    </row>
    <row r="5" spans="2:14" x14ac:dyDescent="0.3">
      <c r="B5" s="9">
        <v>3</v>
      </c>
      <c r="C5" s="9">
        <v>0.3</v>
      </c>
      <c r="E5">
        <f ca="1"/>
        <v>3</v>
      </c>
      <c r="F5">
        <f ca="1"/>
        <v>0.3</v>
      </c>
      <c r="H5" s="3"/>
      <c r="K5">
        <v>0.2</v>
      </c>
      <c r="L5" cm="1">
        <f t="array" aca="1" ref="L5" ca="1">_xll.TMX.PWFLAT.CURVE.FORWARD(curve,K5)</f>
        <v>0.44590820304886092</v>
      </c>
      <c r="M5" cm="1">
        <f t="array" aca="1" ref="M5" ca="1">_xll.TMX.PWFLAT.CURVE.SPOT(curve,K5)</f>
        <v>0.44590820304886092</v>
      </c>
      <c r="N5" cm="1">
        <f t="array" aca="1" ref="N5" ca="1">_xll.TMX.PWFLAT.CURVE.DISCOUNT(curve,K5)</f>
        <v>0.91467941555759913</v>
      </c>
    </row>
    <row r="6" spans="2:14" x14ac:dyDescent="0.3">
      <c r="B6" s="3" t="s">
        <v>18</v>
      </c>
      <c r="C6" s="9">
        <v>0.4</v>
      </c>
      <c r="E6">
        <f ca="1"/>
        <v>3</v>
      </c>
      <c r="F6">
        <f ca="1"/>
        <v>0.4</v>
      </c>
      <c r="H6" s="3"/>
      <c r="I6" s="5"/>
      <c r="K6">
        <v>0.30000000000000004</v>
      </c>
      <c r="L6" cm="1">
        <f t="array" aca="1" ref="L6" ca="1">_xll.TMX.PWFLAT.CURVE.FORWARD(curve,K6)</f>
        <v>0.44590820304886092</v>
      </c>
      <c r="M6" cm="1">
        <f t="array" aca="1" ref="M6" ca="1">_xll.TMX.PWFLAT.CURVE.SPOT(curve,K6)</f>
        <v>0.44590820304886092</v>
      </c>
      <c r="N6" cm="1">
        <f t="array" aca="1" ref="N6" ca="1">_xll.TMX.PWFLAT.CURVE.DISCOUNT(curve,K6)</f>
        <v>0.87478909066892863</v>
      </c>
    </row>
    <row r="7" spans="2:14" x14ac:dyDescent="0.3">
      <c r="K7">
        <v>0.4</v>
      </c>
      <c r="L7" cm="1">
        <f t="array" aca="1" ref="L7" ca="1">_xll.TMX.PWFLAT.CURVE.FORWARD(curve,K7)</f>
        <v>0.44590820304886092</v>
      </c>
      <c r="M7" cm="1">
        <f t="array" aca="1" ref="M7" ca="1">_xll.TMX.PWFLAT.CURVE.SPOT(curve,K7)</f>
        <v>0.44590820304886092</v>
      </c>
      <c r="N7" cm="1">
        <f t="array" aca="1" ref="N7" ca="1">_xll.TMX.PWFLAT.CURVE.DISCOUNT(curve,K7)</f>
        <v>0.83663843324479115</v>
      </c>
    </row>
    <row r="8" spans="2:14" x14ac:dyDescent="0.3">
      <c r="K8">
        <v>0.5</v>
      </c>
      <c r="L8" cm="1">
        <f t="array" aca="1" ref="L8" ca="1">_xll.TMX.PWFLAT.CURVE.FORWARD(curve,K8)</f>
        <v>0.44590820304886092</v>
      </c>
      <c r="M8" cm="1">
        <f t="array" aca="1" ref="M8" ca="1">_xll.TMX.PWFLAT.CURVE.SPOT(curve,K8)</f>
        <v>0.44590820304886092</v>
      </c>
      <c r="N8" cm="1">
        <f t="array" aca="1" ref="N8" ca="1">_xll.TMX.PWFLAT.CURVE.DISCOUNT(curve,K8)</f>
        <v>0.80015157418921923</v>
      </c>
    </row>
    <row r="9" spans="2:14" x14ac:dyDescent="0.3">
      <c r="K9">
        <v>0.6</v>
      </c>
      <c r="L9" cm="1">
        <f t="array" aca="1" ref="L9" ca="1">_xll.TMX.PWFLAT.CURVE.FORWARD(curve,K9)</f>
        <v>0.44590820304886092</v>
      </c>
      <c r="M9" cm="1">
        <f t="array" aca="1" ref="M9" ca="1">_xll.TMX.PWFLAT.CURVE.SPOT(curve,K9)</f>
        <v>0.44590820304886092</v>
      </c>
      <c r="N9" cm="1">
        <f t="array" aca="1" ref="N9" ca="1">_xll.TMX.PWFLAT.CURVE.DISCOUNT(curve,K9)</f>
        <v>0.76525595315337103</v>
      </c>
    </row>
    <row r="10" spans="2:14" x14ac:dyDescent="0.3">
      <c r="K10">
        <v>0.7</v>
      </c>
      <c r="L10" cm="1">
        <f t="array" aca="1" ref="L10" ca="1">_xll.TMX.PWFLAT.CURVE.FORWARD(curve,K10)</f>
        <v>0.44590820304886092</v>
      </c>
      <c r="M10" cm="1">
        <f t="array" aca="1" ref="M10" ca="1">_xll.TMX.PWFLAT.CURVE.SPOT(curve,K10)</f>
        <v>0.44590820304886092</v>
      </c>
      <c r="N10" cm="1">
        <f t="array" aca="1" ref="N10" ca="1">_xll.TMX.PWFLAT.CURVE.DISCOUNT(curve,K10)</f>
        <v>0.73188217423688795</v>
      </c>
    </row>
    <row r="11" spans="2:14" x14ac:dyDescent="0.3">
      <c r="K11">
        <v>0.79999999999999993</v>
      </c>
      <c r="L11" cm="1">
        <f t="array" aca="1" ref="L11" ca="1">_xll.TMX.PWFLAT.CURVE.FORWARD(curve,K11)</f>
        <v>0.44590820304886092</v>
      </c>
      <c r="M11" cm="1">
        <f t="array" aca="1" ref="M11" ca="1">_xll.TMX.PWFLAT.CURVE.SPOT(curve,K11)</f>
        <v>0.44590820304886092</v>
      </c>
      <c r="N11" cm="1">
        <f t="array" aca="1" ref="N11" ca="1">_xll.TMX.PWFLAT.CURVE.DISCOUNT(curve,K11)</f>
        <v>0.69996386798229893</v>
      </c>
    </row>
    <row r="12" spans="2:14" x14ac:dyDescent="0.3">
      <c r="K12">
        <v>0.89999999999999991</v>
      </c>
      <c r="L12" cm="1">
        <f t="array" aca="1" ref="L12" ca="1">_xll.TMX.PWFLAT.CURVE.FORWARD(curve,K12)</f>
        <v>0.44590820304886092</v>
      </c>
      <c r="M12" cm="1">
        <f t="array" aca="1" ref="M12" ca="1">_xll.TMX.PWFLAT.CURVE.SPOT(curve,K12)</f>
        <v>0.44590820304886092</v>
      </c>
      <c r="N12" cm="1">
        <f t="array" aca="1" ref="N12" ca="1">_xll.TMX.PWFLAT.CURVE.DISCOUNT(curve,K12)</f>
        <v>0.66943755938802163</v>
      </c>
    </row>
    <row r="13" spans="2:14" x14ac:dyDescent="0.3">
      <c r="K13">
        <v>0.99999999999999989</v>
      </c>
      <c r="L13" cm="1">
        <f t="array" aca="1" ref="L13" ca="1">_xll.TMX.PWFLAT.CURVE.FORWARD(curve,K13)</f>
        <v>0.44590820304886092</v>
      </c>
      <c r="M13" cm="1">
        <f t="array" aca="1" ref="M13" ca="1">_xll.TMX.PWFLAT.CURVE.SPOT(curve,K13)</f>
        <v>0.44590820304886092</v>
      </c>
      <c r="N13" cm="1">
        <f t="array" aca="1" ref="N13" ca="1">_xll.TMX.PWFLAT.CURVE.DISCOUNT(curve,K13)</f>
        <v>0.64024254167748562</v>
      </c>
    </row>
    <row r="14" spans="2:14" x14ac:dyDescent="0.3">
      <c r="K14">
        <v>1.0999999999999999</v>
      </c>
      <c r="L14" cm="1">
        <f t="array" aca="1" ref="L14" ca="1">_xll.TMX.PWFLAT.CURVE.FORWARD(curve,K14)</f>
        <v>0.2</v>
      </c>
      <c r="M14" cm="1">
        <f t="array" aca="1" ref="M14" ca="1">_xll.TMX.PWFLAT.CURVE.SPOT(curve,K14)</f>
        <v>0.2</v>
      </c>
      <c r="N14" cm="1">
        <f t="array" aca="1" ref="N14" ca="1">_xll.TMX.PWFLAT.CURVE.DISCOUNT(curve,K14)</f>
        <v>0.62756488994681636</v>
      </c>
    </row>
    <row r="15" spans="2:14" x14ac:dyDescent="0.3">
      <c r="K15">
        <v>1.2</v>
      </c>
      <c r="L15" cm="1">
        <f t="array" aca="1" ref="L15" ca="1">_xll.TMX.PWFLAT.CURVE.FORWARD(curve,K15)</f>
        <v>0.2</v>
      </c>
      <c r="M15" cm="1">
        <f t="array" aca="1" ref="M15" ca="1">_xll.TMX.PWFLAT.CURVE.SPOT(curve,K15)</f>
        <v>0.2</v>
      </c>
      <c r="N15" cm="1">
        <f t="array" aca="1" ref="N15" ca="1">_xll.TMX.PWFLAT.CURVE.DISCOUNT(curve,K15)</f>
        <v>0.61513827253976938</v>
      </c>
    </row>
    <row r="16" spans="2:14" x14ac:dyDescent="0.3">
      <c r="K16">
        <v>1.3</v>
      </c>
      <c r="L16" cm="1">
        <f t="array" aca="1" ref="L16" ca="1">_xll.TMX.PWFLAT.CURVE.FORWARD(curve,K16)</f>
        <v>0.2</v>
      </c>
      <c r="M16" cm="1">
        <f t="array" aca="1" ref="M16" ca="1">_xll.TMX.PWFLAT.CURVE.SPOT(curve,K16)</f>
        <v>0.2</v>
      </c>
      <c r="N16" cm="1">
        <f t="array" aca="1" ref="N16" ca="1">_xll.TMX.PWFLAT.CURVE.DISCOUNT(curve,K16)</f>
        <v>0.60295771864369108</v>
      </c>
    </row>
    <row r="17" spans="11:14" x14ac:dyDescent="0.3">
      <c r="K17">
        <v>1.4000000000000001</v>
      </c>
      <c r="L17" cm="1">
        <f t="array" aca="1" ref="L17" ca="1">_xll.TMX.PWFLAT.CURVE.FORWARD(curve,K17)</f>
        <v>0.2</v>
      </c>
      <c r="M17" cm="1">
        <f t="array" aca="1" ref="M17" ca="1">_xll.TMX.PWFLAT.CURVE.SPOT(curve,K17)</f>
        <v>0.2</v>
      </c>
      <c r="N17" cm="1">
        <f t="array" aca="1" ref="N17" ca="1">_xll.TMX.PWFLAT.CURVE.DISCOUNT(curve,K17)</f>
        <v>0.59101835587461382</v>
      </c>
    </row>
    <row r="18" spans="11:14" x14ac:dyDescent="0.3">
      <c r="K18">
        <v>1.5000000000000002</v>
      </c>
      <c r="L18" cm="1">
        <f t="array" aca="1" ref="L18" ca="1">_xll.TMX.PWFLAT.CURVE.FORWARD(curve,K18)</f>
        <v>0.2</v>
      </c>
      <c r="M18" cm="1">
        <f t="array" aca="1" ref="M18" ca="1">_xll.TMX.PWFLAT.CURVE.SPOT(curve,K18)</f>
        <v>0.2</v>
      </c>
      <c r="N18" cm="1">
        <f t="array" aca="1" ref="N18" ca="1">_xll.TMX.PWFLAT.CURVE.DISCOUNT(curve,K18)</f>
        <v>0.57931540832823625</v>
      </c>
    </row>
    <row r="19" spans="11:14" x14ac:dyDescent="0.3">
      <c r="K19">
        <v>1.6000000000000003</v>
      </c>
      <c r="L19" cm="1">
        <f t="array" aca="1" ref="L19" ca="1">_xll.TMX.PWFLAT.CURVE.FORWARD(curve,K19)</f>
        <v>0.2</v>
      </c>
      <c r="M19" cm="1">
        <f t="array" aca="1" ref="M19" ca="1">_xll.TMX.PWFLAT.CURVE.SPOT(curve,K19)</f>
        <v>0.2</v>
      </c>
      <c r="N19" cm="1">
        <f t="array" aca="1" ref="N19" ca="1">_xll.TMX.PWFLAT.CURVE.DISCOUNT(curve,K19)</f>
        <v>0.56784419466949843</v>
      </c>
    </row>
    <row r="20" spans="11:14" x14ac:dyDescent="0.3">
      <c r="K20">
        <v>1.7000000000000004</v>
      </c>
      <c r="L20" cm="1">
        <f t="array" aca="1" ref="L20" ca="1">_xll.TMX.PWFLAT.CURVE.FORWARD(curve,K20)</f>
        <v>0.2</v>
      </c>
      <c r="M20" cm="1">
        <f t="array" aca="1" ref="M20" ca="1">_xll.TMX.PWFLAT.CURVE.SPOT(curve,K20)</f>
        <v>0.2</v>
      </c>
      <c r="N20" cm="1">
        <f t="array" aca="1" ref="N20" ca="1">_xll.TMX.PWFLAT.CURVE.DISCOUNT(curve,K20)</f>
        <v>0.55660012625998523</v>
      </c>
    </row>
    <row r="21" spans="11:14" x14ac:dyDescent="0.3">
      <c r="K21">
        <v>1.8000000000000005</v>
      </c>
      <c r="L21" cm="1">
        <f t="array" aca="1" ref="L21" ca="1">_xll.TMX.PWFLAT.CURVE.FORWARD(curve,K21)</f>
        <v>0.2</v>
      </c>
      <c r="M21" cm="1">
        <f t="array" aca="1" ref="M21" ca="1">_xll.TMX.PWFLAT.CURVE.SPOT(curve,K21)</f>
        <v>0.2</v>
      </c>
      <c r="N21" cm="1">
        <f t="array" aca="1" ref="N21" ca="1">_xll.TMX.PWFLAT.CURVE.DISCOUNT(curve,K21)</f>
        <v>0.54557870532240993</v>
      </c>
    </row>
    <row r="22" spans="11:14" x14ac:dyDescent="0.3">
      <c r="K22">
        <v>1.9000000000000006</v>
      </c>
      <c r="L22" cm="1">
        <f t="array" aca="1" ref="L22" ca="1">_xll.TMX.PWFLAT.CURVE.FORWARD(curve,K22)</f>
        <v>0.2</v>
      </c>
      <c r="M22" cm="1">
        <f t="array" aca="1" ref="M22" ca="1">_xll.TMX.PWFLAT.CURVE.SPOT(curve,K22)</f>
        <v>0.2</v>
      </c>
      <c r="N22" cm="1">
        <f t="array" aca="1" ref="N22" ca="1">_xll.TMX.PWFLAT.CURVE.DISCOUNT(curve,K22)</f>
        <v>0.5347755231414435</v>
      </c>
    </row>
    <row r="23" spans="11:14" x14ac:dyDescent="0.3">
      <c r="K23">
        <v>2.0000000000000004</v>
      </c>
      <c r="L23" cm="1">
        <f t="array" aca="1" ref="L23" ca="1">_xll.TMX.PWFLAT.CURVE.FORWARD(curve,K23)</f>
        <v>0.3</v>
      </c>
      <c r="M23" cm="1">
        <f t="array" aca="1" ref="M23" ca="1">_xll.TMX.PWFLAT.CURVE.SPOT(curve,K23)</f>
        <v>0.3</v>
      </c>
      <c r="N23" cm="1">
        <f t="array" aca="1" ref="N23" ca="1">_xll.TMX.PWFLAT.CURVE.DISCOUNT(curve,K23)</f>
        <v>0.52418625830016885</v>
      </c>
    </row>
    <row r="24" spans="11:14" x14ac:dyDescent="0.3">
      <c r="K24">
        <v>2.1000000000000005</v>
      </c>
      <c r="L24" cm="1">
        <f t="array" aca="1" ref="L24" ca="1">_xll.TMX.PWFLAT.CURVE.FORWARD(curve,K24)</f>
        <v>0.3</v>
      </c>
      <c r="M24" cm="1">
        <f t="array" aca="1" ref="M24" ca="1">_xll.TMX.PWFLAT.CURVE.SPOT(curve,K24)</f>
        <v>0.3</v>
      </c>
      <c r="N24" cm="1">
        <f t="array" aca="1" ref="N24" ca="1">_xll.TMX.PWFLAT.CURVE.DISCOUNT(curve,K24)</f>
        <v>0.50869421311490348</v>
      </c>
    </row>
    <row r="25" spans="11:14" x14ac:dyDescent="0.3">
      <c r="K25">
        <v>2.2000000000000006</v>
      </c>
      <c r="L25" cm="1">
        <f t="array" aca="1" ref="L25" ca="1">_xll.TMX.PWFLAT.CURVE.FORWARD(curve,K25)</f>
        <v>0.3</v>
      </c>
      <c r="M25" cm="1">
        <f t="array" aca="1" ref="M25" ca="1">_xll.TMX.PWFLAT.CURVE.SPOT(curve,K25)</f>
        <v>0.3</v>
      </c>
      <c r="N25" cm="1">
        <f t="array" aca="1" ref="N25" ca="1">_xll.TMX.PWFLAT.CURVE.DISCOUNT(curve,K25)</f>
        <v>0.49366002705933104</v>
      </c>
    </row>
    <row r="26" spans="11:14" x14ac:dyDescent="0.3">
      <c r="K26">
        <v>2.3000000000000007</v>
      </c>
      <c r="L26" cm="1">
        <f t="array" aca="1" ref="L26" ca="1">_xll.TMX.PWFLAT.CURVE.FORWARD(curve,K26)</f>
        <v>0.3</v>
      </c>
      <c r="M26" cm="1">
        <f t="array" aca="1" ref="M26" ca="1">_xll.TMX.PWFLAT.CURVE.SPOT(curve,K26)</f>
        <v>0.3</v>
      </c>
      <c r="N26" cm="1">
        <f t="array" aca="1" ref="N26" ca="1">_xll.TMX.PWFLAT.CURVE.DISCOUNT(curve,K26)</f>
        <v>0.47907016835116351</v>
      </c>
    </row>
    <row r="27" spans="11:14" x14ac:dyDescent="0.3">
      <c r="K27">
        <v>2.4000000000000008</v>
      </c>
      <c r="L27" cm="1">
        <f t="array" aca="1" ref="L27" ca="1">_xll.TMX.PWFLAT.CURVE.FORWARD(curve,K27)</f>
        <v>0.3</v>
      </c>
      <c r="M27" cm="1">
        <f t="array" aca="1" ref="M27" ca="1">_xll.TMX.PWFLAT.CURVE.SPOT(curve,K27)</f>
        <v>0.3</v>
      </c>
      <c r="N27" cm="1">
        <f t="array" aca="1" ref="N27" ca="1">_xll.TMX.PWFLAT.CURVE.DISCOUNT(curve,K27)</f>
        <v>0.46491150513271845</v>
      </c>
    </row>
    <row r="28" spans="11:14" x14ac:dyDescent="0.3">
      <c r="K28">
        <v>2.5000000000000009</v>
      </c>
      <c r="L28" cm="1">
        <f t="array" aca="1" ref="L28" ca="1">_xll.TMX.PWFLAT.CURVE.FORWARD(curve,K28)</f>
        <v>0.3</v>
      </c>
      <c r="M28" cm="1">
        <f t="array" aca="1" ref="M28" ca="1">_xll.TMX.PWFLAT.CURVE.SPOT(curve,K28)</f>
        <v>0.3</v>
      </c>
      <c r="N28" cm="1">
        <f t="array" aca="1" ref="N28" ca="1">_xll.TMX.PWFLAT.CURVE.DISCOUNT(curve,K28)</f>
        <v>0.45117129365136094</v>
      </c>
    </row>
    <row r="29" spans="11:14" x14ac:dyDescent="0.3">
      <c r="K29">
        <v>2.600000000000001</v>
      </c>
      <c r="L29" cm="1">
        <f t="array" aca="1" ref="L29" ca="1">_xll.TMX.PWFLAT.CURVE.FORWARD(curve,K29)</f>
        <v>0.3</v>
      </c>
      <c r="M29" cm="1">
        <f t="array" aca="1" ref="M29" ca="1">_xll.TMX.PWFLAT.CURVE.SPOT(curve,K29)</f>
        <v>0.3</v>
      </c>
      <c r="N29" cm="1">
        <f t="array" aca="1" ref="N29" ca="1">_xll.TMX.PWFLAT.CURVE.DISCOUNT(curve,K29)</f>
        <v>0.43783716678926565</v>
      </c>
    </row>
    <row r="30" spans="11:14" x14ac:dyDescent="0.3">
      <c r="K30">
        <v>2.7000000000000011</v>
      </c>
      <c r="L30" cm="1">
        <f t="array" aca="1" ref="L30" ca="1">_xll.TMX.PWFLAT.CURVE.FORWARD(curve,K30)</f>
        <v>0.3</v>
      </c>
      <c r="M30" cm="1">
        <f t="array" aca="1" ref="M30" ca="1">_xll.TMX.PWFLAT.CURVE.SPOT(curve,K30)</f>
        <v>0.3</v>
      </c>
      <c r="N30" cm="1">
        <f t="array" aca="1" ref="N30" ca="1">_xll.TMX.PWFLAT.CURVE.DISCOUNT(curve,K30)</f>
        <v>0.42489712293217602</v>
      </c>
    </row>
    <row r="31" spans="11:14" x14ac:dyDescent="0.3">
      <c r="K31">
        <v>2.8000000000000012</v>
      </c>
      <c r="L31" cm="1">
        <f t="array" aca="1" ref="L31" ca="1">_xll.TMX.PWFLAT.CURVE.FORWARD(curve,K31)</f>
        <v>0.3</v>
      </c>
      <c r="M31" cm="1">
        <f t="array" aca="1" ref="M31" ca="1">_xll.TMX.PWFLAT.CURVE.SPOT(curve,K31)</f>
        <v>0.3</v>
      </c>
      <c r="N31" cm="1">
        <f t="array" aca="1" ref="N31" ca="1">_xll.TMX.PWFLAT.CURVE.DISCOUNT(curve,K31)</f>
        <v>0.41233951516714162</v>
      </c>
    </row>
    <row r="32" spans="11:14" x14ac:dyDescent="0.3">
      <c r="K32">
        <v>2.9000000000000012</v>
      </c>
      <c r="L32" cm="1">
        <f t="array" aca="1" ref="L32" ca="1">_xll.TMX.PWFLAT.CURVE.FORWARD(curve,K32)</f>
        <v>0.3</v>
      </c>
      <c r="M32" cm="1">
        <f t="array" aca="1" ref="M32" ca="1">_xll.TMX.PWFLAT.CURVE.SPOT(curve,K32)</f>
        <v>0.3</v>
      </c>
      <c r="N32" cm="1">
        <f t="array" aca="1" ref="N32" ca="1">_xll.TMX.PWFLAT.CURVE.DISCOUNT(curve,K32)</f>
        <v>0.40015304079950992</v>
      </c>
    </row>
    <row r="33" spans="11:14" x14ac:dyDescent="0.3">
      <c r="K33">
        <v>3.0000000000000013</v>
      </c>
      <c r="L33" cm="1">
        <f t="array" aca="1" ref="L33" ca="1">_xll.TMX.PWFLAT.CURVE.FORWARD(curve,K33)</f>
        <v>0.4</v>
      </c>
      <c r="M33" cm="1">
        <f t="array" aca="1" ref="M33" ca="1">_xll.TMX.PWFLAT.CURVE.SPOT(curve,K33)</f>
        <v>0.4</v>
      </c>
      <c r="N33" cm="1">
        <f t="array" aca="1" ref="N33" ca="1">_xll.TMX.PWFLAT.CURVE.DISCOUNT(curve,K33)</f>
        <v>0.38832673117973826</v>
      </c>
    </row>
    <row r="34" spans="11:14" x14ac:dyDescent="0.3">
      <c r="K34">
        <v>3.1000000000000014</v>
      </c>
      <c r="L34" cm="1">
        <f t="array" aca="1" ref="L34" ca="1">_xll.TMX.PWFLAT.CURVE.FORWARD(curve,K34)</f>
        <v>0.4</v>
      </c>
      <c r="M34" cm="1">
        <f t="array" aca="1" ref="M34" ca="1">_xll.TMX.PWFLAT.CURVE.SPOT(curve,K34)</f>
        <v>0.4</v>
      </c>
      <c r="N34" cm="1">
        <f t="array" aca="1" ref="N34" ca="1">_xll.TMX.PWFLAT.CURVE.DISCOUNT(curve,K34)</f>
        <v>0.37310022225803574</v>
      </c>
    </row>
    <row r="35" spans="11:14" x14ac:dyDescent="0.3">
      <c r="K35">
        <v>3.2000000000000015</v>
      </c>
      <c r="L35" cm="1">
        <f t="array" aca="1" ref="L35" ca="1">_xll.TMX.PWFLAT.CURVE.FORWARD(curve,K35)</f>
        <v>0.4</v>
      </c>
      <c r="M35" cm="1">
        <f t="array" aca="1" ref="M35" ca="1">_xll.TMX.PWFLAT.CURVE.SPOT(curve,K35)</f>
        <v>0.4</v>
      </c>
      <c r="N35" cm="1">
        <f t="array" aca="1" ref="N35" ca="1">_xll.TMX.PWFLAT.CURVE.DISCOUNT(curve,K35)</f>
        <v>0.35847075329090528</v>
      </c>
    </row>
    <row r="36" spans="11:14" x14ac:dyDescent="0.3">
      <c r="K36">
        <v>3.3000000000000016</v>
      </c>
      <c r="L36" cm="1">
        <f t="array" aca="1" ref="L36" ca="1">_xll.TMX.PWFLAT.CURVE.FORWARD(curve,K36)</f>
        <v>0.4</v>
      </c>
      <c r="M36" cm="1">
        <f t="array" aca="1" ref="M36" ca="1">_xll.TMX.PWFLAT.CURVE.SPOT(curve,K36)</f>
        <v>0.4</v>
      </c>
      <c r="N36" cm="1">
        <f t="array" aca="1" ref="N36" ca="1">_xll.TMX.PWFLAT.CURVE.DISCOUNT(curve,K36)</f>
        <v>0.34441491400687974</v>
      </c>
    </row>
    <row r="37" spans="11:14" x14ac:dyDescent="0.3">
      <c r="K37">
        <v>3.4000000000000017</v>
      </c>
      <c r="L37" cm="1">
        <f t="array" aca="1" ref="L37" ca="1">_xll.TMX.PWFLAT.CURVE.FORWARD(curve,K37)</f>
        <v>0.4</v>
      </c>
      <c r="M37" cm="1">
        <f t="array" aca="1" ref="M37" ca="1">_xll.TMX.PWFLAT.CURVE.SPOT(curve,K37)</f>
        <v>0.4</v>
      </c>
      <c r="N37" cm="1">
        <f t="array" aca="1" ref="N37" ca="1">_xll.TMX.PWFLAT.CURVE.DISCOUNT(curve,K37)</f>
        <v>0.33091021206436555</v>
      </c>
    </row>
    <row r="38" spans="11:14" x14ac:dyDescent="0.3">
      <c r="K38">
        <v>3.5000000000000018</v>
      </c>
      <c r="L38" cm="1">
        <f t="array" aca="1" ref="L38" ca="1">_xll.TMX.PWFLAT.CURVE.FORWARD(curve,K38)</f>
        <v>0.4</v>
      </c>
      <c r="M38" cm="1">
        <f t="array" aca="1" ref="M38" ca="1">_xll.TMX.PWFLAT.CURVE.SPOT(curve,K38)</f>
        <v>0.4</v>
      </c>
      <c r="N38" cm="1">
        <f t="array" aca="1" ref="N38" ca="1">_xll.TMX.PWFLAT.CURVE.DISCOUNT(curve,K38)</f>
        <v>0.31793503705909815</v>
      </c>
    </row>
    <row r="39" spans="11:14" x14ac:dyDescent="0.3">
      <c r="K39">
        <v>3.6000000000000019</v>
      </c>
      <c r="L39" cm="1">
        <f t="array" aca="1" ref="L39" ca="1">_xll.TMX.PWFLAT.CURVE.FORWARD(curve,K39)</f>
        <v>0.4</v>
      </c>
      <c r="M39" cm="1">
        <f t="array" aca="1" ref="M39" ca="1">_xll.TMX.PWFLAT.CURVE.SPOT(curve,K39)</f>
        <v>0.4</v>
      </c>
      <c r="N39" cm="1">
        <f t="array" aca="1" ref="N39" ca="1">_xll.TMX.PWFLAT.CURVE.DISCOUNT(curve,K39)</f>
        <v>0.30546862594288399</v>
      </c>
    </row>
    <row r="40" spans="11:14" x14ac:dyDescent="0.3">
      <c r="K40">
        <v>3.700000000000002</v>
      </c>
      <c r="L40" cm="1">
        <f t="array" aca="1" ref="L40" ca="1">_xll.TMX.PWFLAT.CURVE.FORWARD(curve,K40)</f>
        <v>0.4</v>
      </c>
      <c r="M40" cm="1">
        <f t="array" aca="1" ref="M40" ca="1">_xll.TMX.PWFLAT.CURVE.SPOT(curve,K40)</f>
        <v>0.4</v>
      </c>
      <c r="N40" cm="1">
        <f t="array" aca="1" ref="N40" ca="1">_xll.TMX.PWFLAT.CURVE.DISCOUNT(curve,K40)</f>
        <v>0.29349102979829428</v>
      </c>
    </row>
    <row r="41" spans="11:14" x14ac:dyDescent="0.3">
      <c r="K41">
        <v>3.800000000000002</v>
      </c>
      <c r="L41" cm="1">
        <f t="array" aca="1" ref="L41" ca="1">_xll.TMX.PWFLAT.CURVE.FORWARD(curve,K41)</f>
        <v>0.4</v>
      </c>
      <c r="M41" cm="1">
        <f t="array" aca="1" ref="M41" ca="1">_xll.TMX.PWFLAT.CURVE.SPOT(curve,K41)</f>
        <v>0.4</v>
      </c>
      <c r="N41" cm="1">
        <f t="array" aca="1" ref="N41" ca="1">_xll.TMX.PWFLAT.CURVE.DISCOUNT(curve,K41)</f>
        <v>0.28198308191614097</v>
      </c>
    </row>
    <row r="42" spans="11:14" x14ac:dyDescent="0.3">
      <c r="K42">
        <v>3.9000000000000021</v>
      </c>
      <c r="L42" cm="1">
        <f t="array" aca="1" ref="L42" ca="1">_xll.TMX.PWFLAT.CURVE.FORWARD(curve,K42)</f>
        <v>0.4</v>
      </c>
      <c r="M42" cm="1">
        <f t="array" aca="1" ref="M42" ca="1">_xll.TMX.PWFLAT.CURVE.SPOT(curve,K42)</f>
        <v>0.4</v>
      </c>
      <c r="N42" cm="1">
        <f t="array" aca="1" ref="N42" ca="1">_xll.TMX.PWFLAT.CURVE.DISCOUNT(curve,K42)</f>
        <v>0.27092636712465268</v>
      </c>
    </row>
    <row r="43" spans="11:14" x14ac:dyDescent="0.3">
      <c r="K43">
        <v>4.0000000000000018</v>
      </c>
      <c r="L43" cm="1">
        <f t="array" aca="1" ref="L43" ca="1">_xll.TMX.PWFLAT.CURVE.FORWARD(curve,K43)</f>
        <v>0.4</v>
      </c>
      <c r="M43" cm="1">
        <f t="array" aca="1" ref="M43" ca="1">_xll.TMX.PWFLAT.CURVE.SPOT(curve,K43)</f>
        <v>0.4</v>
      </c>
      <c r="N43" cm="1">
        <f t="array" aca="1" ref="N43" ca="1">_xll.TMX.PWFLAT.CURVE.DISCOUNT(curve,K43)</f>
        <v>0.26030319232127141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G552"/>
  <sheetViews>
    <sheetView zoomScale="110" zoomScaleNormal="110" workbookViewId="0">
      <selection activeCell="E17" sqref="E17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1.19921875" bestFit="1" customWidth="1"/>
    <col min="5" max="5" width="11.59765625" bestFit="1" customWidth="1"/>
    <col min="6" max="6" width="11.19921875" bestFit="1" customWidth="1"/>
    <col min="7" max="7" width="9.69921875" bestFit="1" customWidth="1"/>
  </cols>
  <sheetData>
    <row r="1" spans="2:7" ht="19.5" thickBot="1" x14ac:dyDescent="0.35"/>
    <row r="2" spans="2:7" ht="20.25" thickTop="1" thickBot="1" x14ac:dyDescent="0.35">
      <c r="B2" s="11" t="s">
        <v>0</v>
      </c>
      <c r="C2" s="12">
        <v>4</v>
      </c>
      <c r="D2" cm="1">
        <f t="array" ref="D2:D5">_xll.TMX.BOND.SIMPLE(bond.simple)</f>
        <v>4</v>
      </c>
      <c r="E2" s="5" cm="1">
        <f t="array" ref="E2">_xll.\TMX.BOND.SIMPLE(D2,D3,D4,D5)</f>
        <v>1934046364704</v>
      </c>
      <c r="F2" cm="1">
        <f t="array" ref="F2:F5">_xll.TMX.BOND.SIMPLE(E2)</f>
        <v>4</v>
      </c>
      <c r="G2" s="17" t="b">
        <f>F2=D2</f>
        <v>1</v>
      </c>
    </row>
    <row r="3" spans="2:7" ht="20.25" thickTop="1" thickBot="1" x14ac:dyDescent="0.35">
      <c r="B3" s="3" t="s">
        <v>1</v>
      </c>
      <c r="C3" s="13">
        <v>0.05</v>
      </c>
      <c r="D3">
        <v>0.05</v>
      </c>
      <c r="F3">
        <v>0.05</v>
      </c>
      <c r="G3" s="17" t="b">
        <f t="shared" ref="G3:G5" si="0">F3=D3</f>
        <v>1</v>
      </c>
    </row>
    <row r="4" spans="2:7" ht="20.25" thickTop="1" thickBot="1" x14ac:dyDescent="0.35">
      <c r="B4" s="3" t="s">
        <v>22</v>
      </c>
      <c r="C4" s="14" t="s">
        <v>25</v>
      </c>
      <c r="D4">
        <v>6</v>
      </c>
      <c r="F4">
        <v>6</v>
      </c>
      <c r="G4" s="17" t="b">
        <f t="shared" si="0"/>
        <v>1</v>
      </c>
    </row>
    <row r="5" spans="2:7" ht="20.25" thickTop="1" thickBot="1" x14ac:dyDescent="0.35">
      <c r="B5" s="3" t="s">
        <v>23</v>
      </c>
      <c r="C5" s="14" t="s">
        <v>28</v>
      </c>
      <c r="D5" s="5">
        <v>140716933985319</v>
      </c>
      <c r="F5" s="5">
        <v>140716933985319</v>
      </c>
      <c r="G5" s="17" t="b">
        <f t="shared" si="0"/>
        <v>1</v>
      </c>
    </row>
    <row r="6" spans="2:7" ht="19.5" thickTop="1" x14ac:dyDescent="0.3">
      <c r="B6" s="10" t="s">
        <v>33</v>
      </c>
      <c r="C6" s="5" cm="1">
        <f t="array" ref="C6">_xll.\TMX.BOND.SIMPLE(maturity, coupon, _xll.ENUM(frequency), _xll.ENUM(day_count))</f>
        <v>1934046363552</v>
      </c>
    </row>
    <row r="7" spans="2:7" x14ac:dyDescent="0.3">
      <c r="B7" s="3" t="s">
        <v>4</v>
      </c>
      <c r="C7" s="2">
        <f ca="1">TODAY()</f>
        <v>45102</v>
      </c>
    </row>
    <row r="8" spans="2:7" x14ac:dyDescent="0.3">
      <c r="B8" s="10" t="s">
        <v>37</v>
      </c>
      <c r="C8" s="5" cm="1">
        <f t="array" aca="1" ref="C8" ca="1">_xll.\TMX.BOND.INSTRUMENT(bond.simple, dated)</f>
        <v>1934059852624</v>
      </c>
    </row>
    <row r="9" spans="2:7" x14ac:dyDescent="0.3">
      <c r="B9" s="10" t="s">
        <v>38</v>
      </c>
      <c r="C9" s="20" cm="1">
        <f t="array" aca="1" ref="C9" ca="1">_xll.TMX.VALUE.YIELD(instrument, 1)</f>
        <v>4.9380446996018602E-2</v>
      </c>
    </row>
    <row r="10" spans="2:7" x14ac:dyDescent="0.3">
      <c r="B10" s="10" t="s">
        <v>40</v>
      </c>
      <c r="C10" s="20"/>
    </row>
    <row r="11" spans="2:7" x14ac:dyDescent="0.3">
      <c r="B11" s="10" t="s">
        <v>41</v>
      </c>
      <c r="C11" s="20"/>
    </row>
    <row r="12" spans="2:7" x14ac:dyDescent="0.3">
      <c r="B12" s="10" t="s">
        <v>39</v>
      </c>
      <c r="C12" s="20" cm="1">
        <f t="array" aca="1" ref="C12" ca="1">_xll.TMX.VALUE.COMPOUND_YIELD(C9,12/_xll.ENUM(frequency))</f>
        <v>4.9995102366507727E-2</v>
      </c>
    </row>
    <row r="13" spans="2:7" x14ac:dyDescent="0.3">
      <c r="C13" s="1" t="s">
        <v>16</v>
      </c>
      <c r="D13" s="1" t="s">
        <v>34</v>
      </c>
      <c r="E13" s="1" t="s">
        <v>8</v>
      </c>
      <c r="G13" s="2"/>
    </row>
    <row r="14" spans="2:7" x14ac:dyDescent="0.3">
      <c r="C14" cm="1">
        <f t="array" aca="1" ref="C14:D21" ca="1">TRANSPOSE(_xll.TMX.INSTRUMENT(instrument))</f>
        <v>0.50103698227889693</v>
      </c>
      <c r="D14">
        <f ca="1"/>
        <v>2.5000000000000001E-2</v>
      </c>
      <c r="E14" s="2" cm="1">
        <f t="array" aca="1" ref="E14:E21" ca="1">_xlfn.MAP(INDEX(_xlfn.ANCHORARRAY(C14),,1),_xlfn.LAMBDA(_xlpm.t,_xll.TMX.DATE.ADD_YEARS(dated,_xlpm.t)))</f>
        <v>45285</v>
      </c>
      <c r="G14" s="2"/>
    </row>
    <row r="15" spans="2:7" x14ac:dyDescent="0.3">
      <c r="C15">
        <f ca="1"/>
        <v>1.0020739645577939</v>
      </c>
      <c r="D15">
        <f ca="1"/>
        <v>2.5000000000000001E-2</v>
      </c>
      <c r="E15" s="2">
        <f ca="1"/>
        <v>45468</v>
      </c>
      <c r="G15" s="2"/>
    </row>
    <row r="16" spans="2:7" x14ac:dyDescent="0.3">
      <c r="C16">
        <f ca="1"/>
        <v>1.5031109468366908</v>
      </c>
      <c r="D16">
        <f ca="1"/>
        <v>2.5000000000000001E-2</v>
      </c>
      <c r="E16" s="2">
        <f ca="1"/>
        <v>45651</v>
      </c>
      <c r="G16" s="2"/>
    </row>
    <row r="17" spans="3:7" x14ac:dyDescent="0.3">
      <c r="C17">
        <f ca="1"/>
        <v>2.0014100221085989</v>
      </c>
      <c r="D17">
        <f ca="1"/>
        <v>2.5000000000000001E-2</v>
      </c>
      <c r="E17" s="2">
        <f ca="1"/>
        <v>45832.999988425923</v>
      </c>
      <c r="G17" s="2"/>
    </row>
    <row r="18" spans="3:7" x14ac:dyDescent="0.3">
      <c r="C18">
        <f ca="1"/>
        <v>2.5024470043874958</v>
      </c>
      <c r="D18">
        <f ca="1"/>
        <v>2.5000000000000001E-2</v>
      </c>
      <c r="E18" s="2">
        <f ca="1"/>
        <v>46016</v>
      </c>
      <c r="G18" s="2"/>
    </row>
    <row r="19" spans="3:7" x14ac:dyDescent="0.3">
      <c r="C19">
        <f ca="1"/>
        <v>3.0007460796594043</v>
      </c>
      <c r="D19">
        <f ca="1"/>
        <v>2.5000000000000001E-2</v>
      </c>
      <c r="E19" s="2">
        <f ca="1"/>
        <v>46198</v>
      </c>
      <c r="G19" s="2"/>
    </row>
    <row r="20" spans="3:7" x14ac:dyDescent="0.3">
      <c r="C20">
        <f ca="1"/>
        <v>3.5017830619383012</v>
      </c>
      <c r="D20">
        <f ca="1"/>
        <v>2.5000000000000001E-2</v>
      </c>
      <c r="E20" s="2">
        <f ca="1"/>
        <v>46381</v>
      </c>
      <c r="G20" s="2"/>
    </row>
    <row r="21" spans="3:7" x14ac:dyDescent="0.3">
      <c r="C21">
        <f ca="1"/>
        <v>4.0000821372102093</v>
      </c>
      <c r="D21">
        <f ca="1"/>
        <v>1.0249999999999999</v>
      </c>
      <c r="E21" s="2">
        <f ca="1"/>
        <v>46563</v>
      </c>
      <c r="G21" s="2"/>
    </row>
    <row r="22" spans="3:7" x14ac:dyDescent="0.3">
      <c r="E22" s="2"/>
      <c r="G22" s="2"/>
    </row>
    <row r="23" spans="3:7" x14ac:dyDescent="0.3">
      <c r="E23" s="2"/>
      <c r="G23" s="2"/>
    </row>
    <row r="24" spans="3:7" x14ac:dyDescent="0.3">
      <c r="E24" s="2"/>
      <c r="G24" s="2"/>
    </row>
    <row r="25" spans="3:7" x14ac:dyDescent="0.3">
      <c r="E25" s="2"/>
      <c r="G25" s="2"/>
    </row>
    <row r="26" spans="3:7" x14ac:dyDescent="0.3">
      <c r="E26" s="2"/>
      <c r="G26" s="2"/>
    </row>
    <row r="27" spans="3:7" x14ac:dyDescent="0.3">
      <c r="E27" s="2"/>
      <c r="G27" s="2"/>
    </row>
    <row r="28" spans="3:7" x14ac:dyDescent="0.3">
      <c r="E28" s="2"/>
      <c r="G28" s="2"/>
    </row>
    <row r="29" spans="3:7" x14ac:dyDescent="0.3">
      <c r="E29" s="2"/>
      <c r="G29" s="2"/>
    </row>
    <row r="30" spans="3:7" x14ac:dyDescent="0.3">
      <c r="E30" s="2"/>
      <c r="G30" s="2"/>
    </row>
    <row r="31" spans="3:7" x14ac:dyDescent="0.3">
      <c r="E31" s="2"/>
      <c r="G31" s="2"/>
    </row>
    <row r="32" spans="3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  <row r="125" spans="5:7" x14ac:dyDescent="0.3">
      <c r="E125" s="2"/>
      <c r="G125" s="2"/>
    </row>
    <row r="126" spans="5:7" x14ac:dyDescent="0.3">
      <c r="E126" s="2"/>
      <c r="G126" s="2"/>
    </row>
    <row r="127" spans="5:7" x14ac:dyDescent="0.3">
      <c r="E127" s="2"/>
      <c r="G127" s="2"/>
    </row>
    <row r="128" spans="5:7" x14ac:dyDescent="0.3">
      <c r="E128" s="2"/>
      <c r="G128" s="2"/>
    </row>
    <row r="129" spans="5:7" x14ac:dyDescent="0.3">
      <c r="E129" s="2"/>
      <c r="G129" s="2"/>
    </row>
    <row r="130" spans="5:7" x14ac:dyDescent="0.3">
      <c r="E130" s="2"/>
      <c r="G130" s="2"/>
    </row>
    <row r="131" spans="5:7" x14ac:dyDescent="0.3">
      <c r="E131" s="2"/>
      <c r="G131" s="2"/>
    </row>
    <row r="132" spans="5:7" x14ac:dyDescent="0.3">
      <c r="E132" s="2"/>
      <c r="G132" s="2"/>
    </row>
    <row r="133" spans="5:7" x14ac:dyDescent="0.3">
      <c r="E133" s="2"/>
      <c r="G133" s="2"/>
    </row>
    <row r="134" spans="5:7" x14ac:dyDescent="0.3">
      <c r="E134" s="2"/>
      <c r="G134" s="2"/>
    </row>
    <row r="135" spans="5:7" x14ac:dyDescent="0.3">
      <c r="E135" s="2"/>
      <c r="G135" s="2"/>
    </row>
    <row r="136" spans="5:7" x14ac:dyDescent="0.3">
      <c r="E136" s="2"/>
      <c r="G136" s="2"/>
    </row>
    <row r="137" spans="5:7" x14ac:dyDescent="0.3">
      <c r="E137" s="2"/>
      <c r="G137" s="2"/>
    </row>
    <row r="138" spans="5:7" x14ac:dyDescent="0.3">
      <c r="E138" s="2"/>
      <c r="G138" s="2"/>
    </row>
    <row r="139" spans="5:7" x14ac:dyDescent="0.3">
      <c r="E139" s="2"/>
      <c r="G139" s="2"/>
    </row>
    <row r="140" spans="5:7" x14ac:dyDescent="0.3">
      <c r="E140" s="2"/>
      <c r="G140" s="2"/>
    </row>
    <row r="141" spans="5:7" x14ac:dyDescent="0.3">
      <c r="E141" s="2"/>
      <c r="G141" s="2"/>
    </row>
    <row r="142" spans="5:7" x14ac:dyDescent="0.3">
      <c r="E142" s="2"/>
      <c r="G142" s="2"/>
    </row>
    <row r="143" spans="5:7" x14ac:dyDescent="0.3">
      <c r="E143" s="2"/>
      <c r="G143" s="2"/>
    </row>
    <row r="144" spans="5:7" x14ac:dyDescent="0.3">
      <c r="E144" s="2"/>
      <c r="G144" s="2"/>
    </row>
    <row r="145" spans="5:7" x14ac:dyDescent="0.3">
      <c r="E145" s="2"/>
      <c r="G145" s="2"/>
    </row>
    <row r="146" spans="5:7" x14ac:dyDescent="0.3">
      <c r="E146" s="2"/>
      <c r="G146" s="2"/>
    </row>
    <row r="147" spans="5:7" x14ac:dyDescent="0.3">
      <c r="E147" s="2"/>
      <c r="G147" s="2"/>
    </row>
    <row r="148" spans="5:7" x14ac:dyDescent="0.3">
      <c r="E148" s="2"/>
      <c r="G148" s="2"/>
    </row>
    <row r="149" spans="5:7" x14ac:dyDescent="0.3">
      <c r="E149" s="2"/>
      <c r="G149" s="2"/>
    </row>
    <row r="150" spans="5:7" x14ac:dyDescent="0.3">
      <c r="E150" s="2"/>
      <c r="G150" s="2"/>
    </row>
    <row r="151" spans="5:7" x14ac:dyDescent="0.3">
      <c r="E151" s="2"/>
      <c r="G151" s="2"/>
    </row>
    <row r="152" spans="5:7" x14ac:dyDescent="0.3">
      <c r="E152" s="2"/>
      <c r="G152" s="2"/>
    </row>
    <row r="153" spans="5:7" x14ac:dyDescent="0.3">
      <c r="E153" s="2"/>
      <c r="G153" s="2"/>
    </row>
    <row r="154" spans="5:7" x14ac:dyDescent="0.3">
      <c r="E154" s="2"/>
      <c r="G154" s="2"/>
    </row>
    <row r="155" spans="5:7" x14ac:dyDescent="0.3">
      <c r="E155" s="2"/>
      <c r="G155" s="2"/>
    </row>
    <row r="156" spans="5:7" x14ac:dyDescent="0.3">
      <c r="E156" s="2"/>
      <c r="G156" s="2"/>
    </row>
    <row r="157" spans="5:7" x14ac:dyDescent="0.3">
      <c r="E157" s="2"/>
      <c r="G157" s="2"/>
    </row>
    <row r="158" spans="5:7" x14ac:dyDescent="0.3">
      <c r="E158" s="2"/>
      <c r="G158" s="2"/>
    </row>
    <row r="159" spans="5:7" x14ac:dyDescent="0.3">
      <c r="E159" s="2"/>
      <c r="G159" s="2"/>
    </row>
    <row r="160" spans="5:7" x14ac:dyDescent="0.3">
      <c r="E160" s="2"/>
      <c r="G160" s="2"/>
    </row>
    <row r="161" spans="5:7" x14ac:dyDescent="0.3">
      <c r="E161" s="2"/>
      <c r="G161" s="2"/>
    </row>
    <row r="162" spans="5:7" x14ac:dyDescent="0.3">
      <c r="E162" s="2"/>
      <c r="G162" s="2"/>
    </row>
    <row r="163" spans="5:7" x14ac:dyDescent="0.3">
      <c r="E163" s="2"/>
      <c r="G163" s="2"/>
    </row>
    <row r="164" spans="5:7" x14ac:dyDescent="0.3">
      <c r="E164" s="2"/>
      <c r="G164" s="2"/>
    </row>
    <row r="165" spans="5:7" x14ac:dyDescent="0.3">
      <c r="E165" s="2"/>
      <c r="G165" s="2"/>
    </row>
    <row r="166" spans="5:7" x14ac:dyDescent="0.3">
      <c r="E166" s="2"/>
      <c r="G166" s="2"/>
    </row>
    <row r="167" spans="5:7" x14ac:dyDescent="0.3">
      <c r="E167" s="2"/>
      <c r="G167" s="2"/>
    </row>
    <row r="168" spans="5:7" x14ac:dyDescent="0.3">
      <c r="E168" s="2"/>
      <c r="G168" s="2"/>
    </row>
    <row r="169" spans="5:7" x14ac:dyDescent="0.3">
      <c r="E169" s="2"/>
      <c r="G169" s="2"/>
    </row>
    <row r="170" spans="5:7" x14ac:dyDescent="0.3">
      <c r="E170" s="2"/>
      <c r="G170" s="2"/>
    </row>
    <row r="171" spans="5:7" x14ac:dyDescent="0.3">
      <c r="E171" s="2"/>
      <c r="G171" s="2"/>
    </row>
    <row r="172" spans="5:7" x14ac:dyDescent="0.3">
      <c r="E172" s="2"/>
      <c r="G172" s="2"/>
    </row>
    <row r="173" spans="5:7" x14ac:dyDescent="0.3">
      <c r="E173" s="2"/>
      <c r="G173" s="2"/>
    </row>
    <row r="174" spans="5:7" x14ac:dyDescent="0.3">
      <c r="E174" s="2"/>
      <c r="G174" s="2"/>
    </row>
    <row r="175" spans="5:7" x14ac:dyDescent="0.3">
      <c r="E175" s="2"/>
      <c r="G175" s="2"/>
    </row>
    <row r="176" spans="5:7" x14ac:dyDescent="0.3">
      <c r="E176" s="2"/>
      <c r="G176" s="2"/>
    </row>
    <row r="177" spans="5:7" x14ac:dyDescent="0.3">
      <c r="E177" s="2"/>
      <c r="G177" s="2"/>
    </row>
    <row r="178" spans="5:7" x14ac:dyDescent="0.3">
      <c r="E178" s="2"/>
      <c r="G178" s="2"/>
    </row>
    <row r="179" spans="5:7" x14ac:dyDescent="0.3">
      <c r="E179" s="2"/>
      <c r="G179" s="2"/>
    </row>
    <row r="180" spans="5:7" x14ac:dyDescent="0.3">
      <c r="E180" s="2"/>
      <c r="G180" s="2"/>
    </row>
    <row r="181" spans="5:7" x14ac:dyDescent="0.3">
      <c r="E181" s="2"/>
      <c r="G181" s="2"/>
    </row>
    <row r="182" spans="5:7" x14ac:dyDescent="0.3">
      <c r="E182" s="2"/>
      <c r="G182" s="2"/>
    </row>
    <row r="183" spans="5:7" x14ac:dyDescent="0.3">
      <c r="E183" s="2"/>
      <c r="G183" s="2"/>
    </row>
    <row r="184" spans="5:7" x14ac:dyDescent="0.3">
      <c r="E184" s="2"/>
      <c r="G184" s="2"/>
    </row>
    <row r="185" spans="5:7" x14ac:dyDescent="0.3">
      <c r="E185" s="2"/>
      <c r="G185" s="2"/>
    </row>
    <row r="186" spans="5:7" x14ac:dyDescent="0.3">
      <c r="E186" s="2"/>
      <c r="G186" s="2"/>
    </row>
    <row r="187" spans="5:7" x14ac:dyDescent="0.3">
      <c r="E187" s="2"/>
      <c r="G187" s="2"/>
    </row>
    <row r="188" spans="5:7" x14ac:dyDescent="0.3">
      <c r="E188" s="2"/>
      <c r="G188" s="2"/>
    </row>
    <row r="189" spans="5:7" x14ac:dyDescent="0.3">
      <c r="E189" s="2"/>
      <c r="G189" s="2"/>
    </row>
    <row r="190" spans="5:7" x14ac:dyDescent="0.3">
      <c r="E190" s="2"/>
      <c r="G190" s="2"/>
    </row>
    <row r="191" spans="5:7" x14ac:dyDescent="0.3">
      <c r="E191" s="2"/>
      <c r="G191" s="2"/>
    </row>
    <row r="192" spans="5:7" x14ac:dyDescent="0.3">
      <c r="E192" s="2"/>
      <c r="G192" s="2"/>
    </row>
    <row r="193" spans="5:7" x14ac:dyDescent="0.3">
      <c r="E193" s="2"/>
      <c r="G193" s="2"/>
    </row>
    <row r="194" spans="5:7" x14ac:dyDescent="0.3">
      <c r="E194" s="2"/>
      <c r="G194" s="2"/>
    </row>
    <row r="195" spans="5:7" x14ac:dyDescent="0.3">
      <c r="E195" s="2"/>
      <c r="G195" s="2"/>
    </row>
    <row r="196" spans="5:7" x14ac:dyDescent="0.3">
      <c r="E196" s="2"/>
      <c r="G196" s="2"/>
    </row>
    <row r="197" spans="5:7" x14ac:dyDescent="0.3">
      <c r="E197" s="2"/>
      <c r="G197" s="2"/>
    </row>
    <row r="198" spans="5:7" x14ac:dyDescent="0.3">
      <c r="E198" s="2"/>
      <c r="G198" s="2"/>
    </row>
    <row r="199" spans="5:7" x14ac:dyDescent="0.3">
      <c r="E199" s="2"/>
      <c r="G199" s="2"/>
    </row>
    <row r="200" spans="5:7" x14ac:dyDescent="0.3">
      <c r="E200" s="2"/>
      <c r="G200" s="2"/>
    </row>
    <row r="201" spans="5:7" x14ac:dyDescent="0.3">
      <c r="E201" s="2"/>
      <c r="G201" s="2"/>
    </row>
    <row r="202" spans="5:7" x14ac:dyDescent="0.3">
      <c r="E202" s="2"/>
      <c r="G202" s="2"/>
    </row>
    <row r="203" spans="5:7" x14ac:dyDescent="0.3">
      <c r="E203" s="2"/>
      <c r="G203" s="2"/>
    </row>
    <row r="204" spans="5:7" x14ac:dyDescent="0.3">
      <c r="E204" s="2"/>
      <c r="G204" s="2"/>
    </row>
    <row r="205" spans="5:7" x14ac:dyDescent="0.3">
      <c r="E205" s="2"/>
      <c r="G205" s="2"/>
    </row>
    <row r="206" spans="5:7" x14ac:dyDescent="0.3">
      <c r="E206" s="2"/>
      <c r="G206" s="2"/>
    </row>
    <row r="207" spans="5:7" x14ac:dyDescent="0.3">
      <c r="E207" s="2"/>
      <c r="G207" s="2"/>
    </row>
    <row r="208" spans="5:7" x14ac:dyDescent="0.3">
      <c r="E208" s="2"/>
      <c r="G208" s="2"/>
    </row>
    <row r="209" spans="5:7" x14ac:dyDescent="0.3">
      <c r="E209" s="2"/>
      <c r="G209" s="2"/>
    </row>
    <row r="210" spans="5:7" x14ac:dyDescent="0.3">
      <c r="E210" s="2"/>
      <c r="G210" s="2"/>
    </row>
    <row r="211" spans="5:7" x14ac:dyDescent="0.3">
      <c r="E211" s="2"/>
      <c r="G211" s="2"/>
    </row>
    <row r="212" spans="5:7" x14ac:dyDescent="0.3">
      <c r="E212" s="2"/>
      <c r="G212" s="2"/>
    </row>
    <row r="213" spans="5:7" x14ac:dyDescent="0.3">
      <c r="E213" s="2"/>
      <c r="G213" s="2"/>
    </row>
    <row r="214" spans="5:7" x14ac:dyDescent="0.3">
      <c r="E214" s="2"/>
      <c r="G214" s="2"/>
    </row>
    <row r="215" spans="5:7" x14ac:dyDescent="0.3">
      <c r="E215" s="2"/>
      <c r="G215" s="2"/>
    </row>
    <row r="216" spans="5:7" x14ac:dyDescent="0.3">
      <c r="E216" s="2"/>
      <c r="G216" s="2"/>
    </row>
    <row r="217" spans="5:7" x14ac:dyDescent="0.3">
      <c r="E217" s="2"/>
      <c r="G217" s="2"/>
    </row>
    <row r="218" spans="5:7" x14ac:dyDescent="0.3">
      <c r="E218" s="2"/>
      <c r="G218" s="2"/>
    </row>
    <row r="219" spans="5:7" x14ac:dyDescent="0.3">
      <c r="E219" s="2"/>
      <c r="G219" s="2"/>
    </row>
    <row r="220" spans="5:7" x14ac:dyDescent="0.3">
      <c r="E220" s="2"/>
      <c r="G220" s="2"/>
    </row>
    <row r="221" spans="5:7" x14ac:dyDescent="0.3">
      <c r="E221" s="2"/>
      <c r="G221" s="2"/>
    </row>
    <row r="222" spans="5:7" x14ac:dyDescent="0.3">
      <c r="E222" s="2"/>
      <c r="G222" s="2"/>
    </row>
    <row r="223" spans="5:7" x14ac:dyDescent="0.3">
      <c r="E223" s="2"/>
      <c r="G223" s="2"/>
    </row>
    <row r="224" spans="5:7" x14ac:dyDescent="0.3">
      <c r="E224" s="2"/>
      <c r="G224" s="2"/>
    </row>
    <row r="225" spans="5:7" x14ac:dyDescent="0.3">
      <c r="E225" s="2"/>
      <c r="G225" s="2"/>
    </row>
    <row r="226" spans="5:7" x14ac:dyDescent="0.3">
      <c r="E226" s="2"/>
      <c r="G226" s="2"/>
    </row>
    <row r="227" spans="5:7" x14ac:dyDescent="0.3">
      <c r="E227" s="2"/>
      <c r="G227" s="2"/>
    </row>
    <row r="228" spans="5:7" x14ac:dyDescent="0.3">
      <c r="E228" s="2"/>
      <c r="G228" s="2"/>
    </row>
    <row r="229" spans="5:7" x14ac:dyDescent="0.3">
      <c r="E229" s="2"/>
      <c r="G229" s="2"/>
    </row>
    <row r="230" spans="5:7" x14ac:dyDescent="0.3">
      <c r="E230" s="2"/>
      <c r="G230" s="2"/>
    </row>
    <row r="231" spans="5:7" x14ac:dyDescent="0.3">
      <c r="E231" s="2"/>
      <c r="G231" s="2"/>
    </row>
    <row r="232" spans="5:7" x14ac:dyDescent="0.3">
      <c r="E232" s="2"/>
      <c r="G232" s="2"/>
    </row>
    <row r="233" spans="5:7" x14ac:dyDescent="0.3">
      <c r="E233" s="2"/>
      <c r="G233" s="2"/>
    </row>
    <row r="234" spans="5:7" x14ac:dyDescent="0.3">
      <c r="E234" s="2"/>
      <c r="G234" s="2"/>
    </row>
    <row r="235" spans="5:7" x14ac:dyDescent="0.3">
      <c r="E235" s="2"/>
      <c r="G235" s="2"/>
    </row>
    <row r="236" spans="5:7" x14ac:dyDescent="0.3">
      <c r="E236" s="2"/>
      <c r="G236" s="2"/>
    </row>
    <row r="237" spans="5:7" x14ac:dyDescent="0.3">
      <c r="E237" s="2"/>
      <c r="G237" s="2"/>
    </row>
    <row r="238" spans="5:7" x14ac:dyDescent="0.3">
      <c r="E238" s="2"/>
      <c r="G238" s="2"/>
    </row>
    <row r="239" spans="5:7" x14ac:dyDescent="0.3">
      <c r="E239" s="2"/>
      <c r="G239" s="2"/>
    </row>
    <row r="240" spans="5:7" x14ac:dyDescent="0.3">
      <c r="E240" s="2"/>
      <c r="G240" s="2"/>
    </row>
    <row r="241" spans="5:7" x14ac:dyDescent="0.3">
      <c r="E241" s="2"/>
      <c r="G241" s="2"/>
    </row>
    <row r="242" spans="5:7" x14ac:dyDescent="0.3">
      <c r="E242" s="2"/>
      <c r="G242" s="2"/>
    </row>
    <row r="243" spans="5:7" x14ac:dyDescent="0.3">
      <c r="E243" s="2"/>
      <c r="G243" s="2"/>
    </row>
    <row r="244" spans="5:7" x14ac:dyDescent="0.3">
      <c r="E244" s="2"/>
      <c r="G244" s="2"/>
    </row>
    <row r="245" spans="5:7" x14ac:dyDescent="0.3">
      <c r="E245" s="2"/>
      <c r="G245" s="2"/>
    </row>
    <row r="246" spans="5:7" x14ac:dyDescent="0.3">
      <c r="E246" s="2"/>
      <c r="G246" s="2"/>
    </row>
    <row r="247" spans="5:7" x14ac:dyDescent="0.3">
      <c r="E247" s="2"/>
      <c r="G247" s="2"/>
    </row>
    <row r="248" spans="5:7" x14ac:dyDescent="0.3">
      <c r="E248" s="2"/>
      <c r="G248" s="2"/>
    </row>
    <row r="249" spans="5:7" x14ac:dyDescent="0.3">
      <c r="E249" s="2"/>
      <c r="G249" s="2"/>
    </row>
    <row r="250" spans="5:7" x14ac:dyDescent="0.3">
      <c r="E250" s="2"/>
      <c r="G250" s="2"/>
    </row>
    <row r="251" spans="5:7" x14ac:dyDescent="0.3">
      <c r="E251" s="2"/>
      <c r="G251" s="2"/>
    </row>
    <row r="252" spans="5:7" x14ac:dyDescent="0.3">
      <c r="E252" s="2"/>
      <c r="G252" s="2"/>
    </row>
    <row r="253" spans="5:7" x14ac:dyDescent="0.3">
      <c r="E253" s="2"/>
      <c r="G253" s="2"/>
    </row>
    <row r="254" spans="5:7" x14ac:dyDescent="0.3">
      <c r="E254" s="2"/>
      <c r="G254" s="2"/>
    </row>
    <row r="255" spans="5:7" x14ac:dyDescent="0.3">
      <c r="E255" s="2"/>
      <c r="G255" s="2"/>
    </row>
    <row r="256" spans="5:7" x14ac:dyDescent="0.3">
      <c r="E256" s="2"/>
      <c r="G256" s="2"/>
    </row>
    <row r="257" spans="5:7" x14ac:dyDescent="0.3">
      <c r="E257" s="2"/>
      <c r="G257" s="2"/>
    </row>
    <row r="258" spans="5:7" x14ac:dyDescent="0.3">
      <c r="E258" s="2"/>
      <c r="G258" s="2"/>
    </row>
    <row r="259" spans="5:7" x14ac:dyDescent="0.3">
      <c r="E259" s="2"/>
      <c r="G259" s="2"/>
    </row>
    <row r="260" spans="5:7" x14ac:dyDescent="0.3">
      <c r="E260" s="2"/>
      <c r="G260" s="2"/>
    </row>
    <row r="261" spans="5:7" x14ac:dyDescent="0.3">
      <c r="E261" s="2"/>
      <c r="G261" s="2"/>
    </row>
    <row r="262" spans="5:7" x14ac:dyDescent="0.3">
      <c r="E262" s="2"/>
      <c r="G262" s="2"/>
    </row>
    <row r="263" spans="5:7" x14ac:dyDescent="0.3">
      <c r="E263" s="2"/>
      <c r="G263" s="2"/>
    </row>
    <row r="264" spans="5:7" x14ac:dyDescent="0.3">
      <c r="E264" s="2"/>
      <c r="G264" s="2"/>
    </row>
    <row r="265" spans="5:7" x14ac:dyDescent="0.3">
      <c r="E265" s="2"/>
      <c r="G265" s="2"/>
    </row>
    <row r="266" spans="5:7" x14ac:dyDescent="0.3">
      <c r="E266" s="2"/>
      <c r="G266" s="2"/>
    </row>
    <row r="267" spans="5:7" x14ac:dyDescent="0.3">
      <c r="E267" s="2"/>
      <c r="G267" s="2"/>
    </row>
    <row r="268" spans="5:7" x14ac:dyDescent="0.3">
      <c r="E268" s="2"/>
      <c r="G268" s="2"/>
    </row>
    <row r="269" spans="5:7" x14ac:dyDescent="0.3">
      <c r="E269" s="2"/>
      <c r="G269" s="2"/>
    </row>
    <row r="270" spans="5:7" x14ac:dyDescent="0.3">
      <c r="E270" s="2"/>
      <c r="G270" s="2"/>
    </row>
    <row r="271" spans="5:7" x14ac:dyDescent="0.3">
      <c r="E271" s="2"/>
      <c r="G271" s="2"/>
    </row>
    <row r="272" spans="5:7" x14ac:dyDescent="0.3">
      <c r="E272" s="2"/>
      <c r="G272" s="2"/>
    </row>
    <row r="273" spans="5:7" x14ac:dyDescent="0.3">
      <c r="E273" s="2"/>
      <c r="G273" s="2"/>
    </row>
    <row r="274" spans="5:7" x14ac:dyDescent="0.3">
      <c r="E274" s="2"/>
      <c r="G274" s="2"/>
    </row>
    <row r="275" spans="5:7" x14ac:dyDescent="0.3">
      <c r="E275" s="2"/>
      <c r="G275" s="2"/>
    </row>
    <row r="276" spans="5:7" x14ac:dyDescent="0.3">
      <c r="E276" s="2"/>
      <c r="G276" s="2"/>
    </row>
    <row r="277" spans="5:7" x14ac:dyDescent="0.3">
      <c r="E277" s="2"/>
      <c r="G277" s="2"/>
    </row>
    <row r="278" spans="5:7" x14ac:dyDescent="0.3">
      <c r="E278" s="2"/>
      <c r="G278" s="2"/>
    </row>
    <row r="279" spans="5:7" x14ac:dyDescent="0.3">
      <c r="E279" s="2"/>
      <c r="G279" s="2"/>
    </row>
    <row r="280" spans="5:7" x14ac:dyDescent="0.3">
      <c r="E280" s="2"/>
      <c r="G280" s="2"/>
    </row>
    <row r="281" spans="5:7" x14ac:dyDescent="0.3">
      <c r="E281" s="2"/>
      <c r="G281" s="2"/>
    </row>
    <row r="282" spans="5:7" x14ac:dyDescent="0.3">
      <c r="E282" s="2"/>
      <c r="G282" s="2"/>
    </row>
    <row r="283" spans="5:7" x14ac:dyDescent="0.3">
      <c r="E283" s="2"/>
      <c r="G283" s="2"/>
    </row>
    <row r="284" spans="5:7" x14ac:dyDescent="0.3">
      <c r="E284" s="2"/>
      <c r="G284" s="2"/>
    </row>
    <row r="285" spans="5:7" x14ac:dyDescent="0.3">
      <c r="E285" s="2"/>
      <c r="G285" s="2"/>
    </row>
    <row r="286" spans="5:7" x14ac:dyDescent="0.3">
      <c r="E286" s="2"/>
      <c r="G286" s="2"/>
    </row>
    <row r="287" spans="5:7" x14ac:dyDescent="0.3">
      <c r="E287" s="2"/>
      <c r="G287" s="2"/>
    </row>
    <row r="288" spans="5:7" x14ac:dyDescent="0.3">
      <c r="E288" s="2"/>
      <c r="G288" s="2"/>
    </row>
    <row r="289" spans="5:7" x14ac:dyDescent="0.3">
      <c r="E289" s="2"/>
      <c r="G289" s="2"/>
    </row>
    <row r="290" spans="5:7" x14ac:dyDescent="0.3">
      <c r="E290" s="2"/>
      <c r="G290" s="2"/>
    </row>
    <row r="291" spans="5:7" x14ac:dyDescent="0.3">
      <c r="E291" s="2"/>
      <c r="G291" s="2"/>
    </row>
    <row r="292" spans="5:7" x14ac:dyDescent="0.3">
      <c r="E292" s="2"/>
      <c r="G292" s="2"/>
    </row>
    <row r="293" spans="5:7" x14ac:dyDescent="0.3">
      <c r="E293" s="2"/>
      <c r="G293" s="2"/>
    </row>
    <row r="294" spans="5:7" x14ac:dyDescent="0.3">
      <c r="E294" s="2"/>
      <c r="G294" s="2"/>
    </row>
    <row r="295" spans="5:7" x14ac:dyDescent="0.3">
      <c r="E295" s="2"/>
      <c r="G295" s="2"/>
    </row>
    <row r="296" spans="5:7" x14ac:dyDescent="0.3">
      <c r="E296" s="2"/>
      <c r="G296" s="2"/>
    </row>
    <row r="297" spans="5:7" x14ac:dyDescent="0.3">
      <c r="E297" s="2"/>
      <c r="G297" s="2"/>
    </row>
    <row r="298" spans="5:7" x14ac:dyDescent="0.3">
      <c r="E298" s="2"/>
      <c r="G298" s="2"/>
    </row>
    <row r="299" spans="5:7" x14ac:dyDescent="0.3">
      <c r="E299" s="2"/>
      <c r="G299" s="2"/>
    </row>
    <row r="300" spans="5:7" x14ac:dyDescent="0.3">
      <c r="E300" s="2"/>
      <c r="G300" s="2"/>
    </row>
    <row r="301" spans="5:7" x14ac:dyDescent="0.3">
      <c r="E301" s="2"/>
      <c r="G301" s="2"/>
    </row>
    <row r="302" spans="5:7" x14ac:dyDescent="0.3">
      <c r="E302" s="2"/>
      <c r="G302" s="2"/>
    </row>
    <row r="303" spans="5:7" x14ac:dyDescent="0.3">
      <c r="E303" s="2"/>
      <c r="G303" s="2"/>
    </row>
    <row r="304" spans="5:7" x14ac:dyDescent="0.3">
      <c r="E304" s="2"/>
      <c r="G304" s="2"/>
    </row>
    <row r="305" spans="5:7" x14ac:dyDescent="0.3">
      <c r="E305" s="2"/>
      <c r="G305" s="2"/>
    </row>
    <row r="306" spans="5:7" x14ac:dyDescent="0.3">
      <c r="E306" s="2"/>
      <c r="G306" s="2"/>
    </row>
    <row r="307" spans="5:7" x14ac:dyDescent="0.3">
      <c r="E307" s="2"/>
      <c r="G307" s="2"/>
    </row>
    <row r="308" spans="5:7" x14ac:dyDescent="0.3">
      <c r="E308" s="2"/>
      <c r="G308" s="2"/>
    </row>
    <row r="309" spans="5:7" x14ac:dyDescent="0.3">
      <c r="E309" s="2"/>
      <c r="G309" s="2"/>
    </row>
    <row r="310" spans="5:7" x14ac:dyDescent="0.3">
      <c r="E310" s="2"/>
      <c r="G310" s="2"/>
    </row>
    <row r="311" spans="5:7" x14ac:dyDescent="0.3">
      <c r="E311" s="2"/>
      <c r="G311" s="2"/>
    </row>
    <row r="312" spans="5:7" x14ac:dyDescent="0.3">
      <c r="E312" s="2"/>
      <c r="G312" s="2"/>
    </row>
    <row r="313" spans="5:7" x14ac:dyDescent="0.3">
      <c r="E313" s="2"/>
      <c r="G313" s="2"/>
    </row>
    <row r="314" spans="5:7" x14ac:dyDescent="0.3">
      <c r="E314" s="2"/>
      <c r="G314" s="2"/>
    </row>
    <row r="315" spans="5:7" x14ac:dyDescent="0.3">
      <c r="E315" s="2"/>
      <c r="G315" s="2"/>
    </row>
    <row r="316" spans="5:7" x14ac:dyDescent="0.3">
      <c r="E316" s="2"/>
      <c r="G316" s="2"/>
    </row>
    <row r="317" spans="5:7" x14ac:dyDescent="0.3">
      <c r="E317" s="2"/>
      <c r="G317" s="2"/>
    </row>
    <row r="318" spans="5:7" x14ac:dyDescent="0.3">
      <c r="E318" s="2"/>
      <c r="G318" s="2"/>
    </row>
    <row r="319" spans="5:7" x14ac:dyDescent="0.3">
      <c r="E319" s="2"/>
      <c r="G319" s="2"/>
    </row>
    <row r="320" spans="5:7" x14ac:dyDescent="0.3">
      <c r="E320" s="2"/>
      <c r="G320" s="2"/>
    </row>
    <row r="321" spans="5:7" x14ac:dyDescent="0.3">
      <c r="E321" s="2"/>
      <c r="G321" s="2"/>
    </row>
    <row r="322" spans="5:7" x14ac:dyDescent="0.3">
      <c r="E322" s="2"/>
      <c r="G322" s="2"/>
    </row>
    <row r="323" spans="5:7" x14ac:dyDescent="0.3">
      <c r="E323" s="2"/>
      <c r="G323" s="2"/>
    </row>
    <row r="324" spans="5:7" x14ac:dyDescent="0.3">
      <c r="E324" s="2"/>
      <c r="G324" s="2"/>
    </row>
    <row r="325" spans="5:7" x14ac:dyDescent="0.3">
      <c r="E325" s="2"/>
      <c r="G325" s="2"/>
    </row>
    <row r="326" spans="5:7" x14ac:dyDescent="0.3">
      <c r="E326" s="2"/>
      <c r="G326" s="2"/>
    </row>
    <row r="327" spans="5:7" x14ac:dyDescent="0.3">
      <c r="E327" s="2"/>
      <c r="G327" s="2"/>
    </row>
    <row r="328" spans="5:7" x14ac:dyDescent="0.3">
      <c r="E328" s="2"/>
      <c r="G328" s="2"/>
    </row>
    <row r="329" spans="5:7" x14ac:dyDescent="0.3">
      <c r="E329" s="2"/>
      <c r="G329" s="2"/>
    </row>
    <row r="330" spans="5:7" x14ac:dyDescent="0.3">
      <c r="E330" s="2"/>
      <c r="G330" s="2"/>
    </row>
    <row r="331" spans="5:7" x14ac:dyDescent="0.3">
      <c r="E331" s="2"/>
      <c r="G331" s="2"/>
    </row>
    <row r="332" spans="5:7" x14ac:dyDescent="0.3">
      <c r="E332" s="2"/>
      <c r="G332" s="2"/>
    </row>
    <row r="333" spans="5:7" x14ac:dyDescent="0.3">
      <c r="E333" s="2"/>
      <c r="G333" s="2"/>
    </row>
    <row r="334" spans="5:7" x14ac:dyDescent="0.3">
      <c r="E334" s="2"/>
      <c r="G334" s="2"/>
    </row>
    <row r="335" spans="5:7" x14ac:dyDescent="0.3">
      <c r="E335" s="2"/>
      <c r="G335" s="2"/>
    </row>
    <row r="336" spans="5:7" x14ac:dyDescent="0.3">
      <c r="E336" s="2"/>
      <c r="G336" s="2"/>
    </row>
    <row r="337" spans="5:7" x14ac:dyDescent="0.3">
      <c r="E337" s="2"/>
      <c r="G337" s="2"/>
    </row>
    <row r="338" spans="5:7" x14ac:dyDescent="0.3">
      <c r="E338" s="2"/>
      <c r="G338" s="2"/>
    </row>
    <row r="339" spans="5:7" x14ac:dyDescent="0.3">
      <c r="E339" s="2"/>
      <c r="G339" s="2"/>
    </row>
    <row r="340" spans="5:7" x14ac:dyDescent="0.3">
      <c r="E340" s="2"/>
      <c r="G340" s="2"/>
    </row>
    <row r="341" spans="5:7" x14ac:dyDescent="0.3">
      <c r="E341" s="2"/>
      <c r="G341" s="2"/>
    </row>
    <row r="342" spans="5:7" x14ac:dyDescent="0.3">
      <c r="E342" s="2"/>
      <c r="G342" s="2"/>
    </row>
    <row r="343" spans="5:7" x14ac:dyDescent="0.3">
      <c r="E343" s="2"/>
      <c r="G343" s="2"/>
    </row>
    <row r="344" spans="5:7" x14ac:dyDescent="0.3">
      <c r="E344" s="2"/>
      <c r="G344" s="2"/>
    </row>
    <row r="345" spans="5:7" x14ac:dyDescent="0.3">
      <c r="E345" s="2"/>
      <c r="G345" s="2"/>
    </row>
    <row r="346" spans="5:7" x14ac:dyDescent="0.3">
      <c r="E346" s="2"/>
      <c r="G346" s="2"/>
    </row>
    <row r="347" spans="5:7" x14ac:dyDescent="0.3">
      <c r="E347" s="2"/>
      <c r="G347" s="2"/>
    </row>
    <row r="348" spans="5:7" x14ac:dyDescent="0.3">
      <c r="E348" s="2"/>
      <c r="G348" s="2"/>
    </row>
    <row r="349" spans="5:7" x14ac:dyDescent="0.3">
      <c r="E349" s="2"/>
      <c r="G349" s="2"/>
    </row>
    <row r="350" spans="5:7" x14ac:dyDescent="0.3">
      <c r="E350" s="2"/>
      <c r="G350" s="2"/>
    </row>
    <row r="351" spans="5:7" x14ac:dyDescent="0.3">
      <c r="E351" s="2"/>
      <c r="G351" s="2"/>
    </row>
    <row r="352" spans="5:7" x14ac:dyDescent="0.3">
      <c r="E352" s="2"/>
      <c r="G352" s="2"/>
    </row>
    <row r="353" spans="5:7" x14ac:dyDescent="0.3">
      <c r="E353" s="2"/>
      <c r="G353" s="2"/>
    </row>
    <row r="354" spans="5:7" x14ac:dyDescent="0.3">
      <c r="E354" s="2"/>
      <c r="G354" s="2"/>
    </row>
    <row r="355" spans="5:7" x14ac:dyDescent="0.3">
      <c r="E355" s="2"/>
      <c r="G355" s="2"/>
    </row>
    <row r="356" spans="5:7" x14ac:dyDescent="0.3">
      <c r="E356" s="2"/>
      <c r="G356" s="2"/>
    </row>
    <row r="357" spans="5:7" x14ac:dyDescent="0.3">
      <c r="E357" s="2"/>
    </row>
    <row r="358" spans="5:7" x14ac:dyDescent="0.3">
      <c r="E358" s="2"/>
    </row>
    <row r="359" spans="5:7" x14ac:dyDescent="0.3">
      <c r="E359" s="2"/>
    </row>
    <row r="360" spans="5:7" x14ac:dyDescent="0.3">
      <c r="E360" s="2"/>
    </row>
    <row r="361" spans="5:7" x14ac:dyDescent="0.3">
      <c r="E361" s="2"/>
    </row>
    <row r="362" spans="5:7" x14ac:dyDescent="0.3">
      <c r="E362" s="2"/>
    </row>
    <row r="363" spans="5:7" x14ac:dyDescent="0.3">
      <c r="E363" s="2"/>
    </row>
    <row r="364" spans="5:7" x14ac:dyDescent="0.3">
      <c r="E364" s="2"/>
    </row>
    <row r="365" spans="5:7" x14ac:dyDescent="0.3">
      <c r="E365" s="2"/>
    </row>
    <row r="366" spans="5:7" x14ac:dyDescent="0.3">
      <c r="E366" s="2"/>
    </row>
    <row r="367" spans="5:7" x14ac:dyDescent="0.3">
      <c r="E367" s="2"/>
    </row>
    <row r="368" spans="5:7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J107"/>
  <sheetViews>
    <sheetView tabSelected="1" zoomScale="110" zoomScaleNormal="110" workbookViewId="0"/>
  </sheetViews>
  <sheetFormatPr defaultRowHeight="18.75" x14ac:dyDescent="0.3"/>
  <cols>
    <col min="1" max="1" width="3.59765625" customWidth="1"/>
    <col min="2" max="2" width="9.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0" ht="21" x14ac:dyDescent="0.3">
      <c r="B2" s="4" t="s">
        <v>5</v>
      </c>
    </row>
    <row r="4" spans="2:10" x14ac:dyDescent="0.3">
      <c r="B4" s="3" t="s">
        <v>4</v>
      </c>
      <c r="C4" s="2">
        <v>45080</v>
      </c>
      <c r="D4" s="2"/>
      <c r="F4" s="3"/>
      <c r="H4" s="2"/>
    </row>
    <row r="5" spans="2:10" x14ac:dyDescent="0.3">
      <c r="G5" s="19" t="s">
        <v>36</v>
      </c>
      <c r="H5">
        <v>0.1</v>
      </c>
    </row>
    <row r="6" spans="2:10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5" cm="1">
        <f t="array" aca="1" ref="G6" ca="1">_xll.\TMX.BOOTSTRAP(instrument, price)</f>
        <v>1934059827280</v>
      </c>
      <c r="H6" s="1" t="s">
        <v>16</v>
      </c>
      <c r="I6" s="1" t="s">
        <v>35</v>
      </c>
    </row>
    <row r="7" spans="2:10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1934046363648</v>
      </c>
      <c r="F7" s="5" cm="1">
        <f t="array" ref="F7">_xll.\TMX.BOND.INSTRUMENT(E7, dated)</f>
        <v>1934037281248</v>
      </c>
      <c r="H7" cm="1">
        <f t="array" ref="H7:H107">_xlfn.SEQUENCE(1+10/H5,1,0,H5)</f>
        <v>0</v>
      </c>
      <c r="I7" s="21" cm="1">
        <f t="array" aca="1" ref="I7:I107" ca="1">_xlfn.MAP(_xlfn.ANCHORARRAY(H7),_xlfn.LAMBDA(_xlpm.t,_xll.TMX.PWFLAT.CURVE.FORWARD(curve,_xlpm.t)))</f>
        <v>4.9283011639120938E-2</v>
      </c>
      <c r="J7" s="2"/>
    </row>
    <row r="8" spans="2:10" x14ac:dyDescent="0.3">
      <c r="B8">
        <v>2</v>
      </c>
      <c r="C8" s="18">
        <f ca="1">0.05 + 0.01*RAND()</f>
        <v>5.5845076617823466E-2</v>
      </c>
      <c r="D8" s="6">
        <v>1</v>
      </c>
      <c r="E8" s="5" cm="1">
        <f t="array" aca="1" ref="E8" ca="1">_xll.\TMX.BOND.SIMPLE(B8, C8)</f>
        <v>1933933468208</v>
      </c>
      <c r="F8" s="5" cm="1">
        <f t="array" aca="1" ref="F8" ca="1">_xll.\TMX.BOND.INSTRUMENT(E8, dated)</f>
        <v>1934059827632</v>
      </c>
      <c r="H8">
        <v>0.1</v>
      </c>
      <c r="I8">
        <f ca="1"/>
        <v>4.9283011639120938E-2</v>
      </c>
    </row>
    <row r="9" spans="2:10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1934046361536</v>
      </c>
      <c r="F9" s="5" cm="1">
        <f t="array" ref="F9">_xll.\TMX.BOND.INSTRUMENT(E9, dated)</f>
        <v>1934037283360</v>
      </c>
      <c r="H9">
        <v>0.2</v>
      </c>
      <c r="I9">
        <f ca="1"/>
        <v>4.9283011639120938E-2</v>
      </c>
    </row>
    <row r="10" spans="2:10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1934046362688</v>
      </c>
      <c r="F10" s="5" cm="1">
        <f t="array" ref="F10">_xll.\TMX.BOND.INSTRUMENT(E10, dated)</f>
        <v>1934037281072</v>
      </c>
      <c r="H10">
        <v>0.30000000000000004</v>
      </c>
      <c r="I10">
        <f ca="1"/>
        <v>4.9283011639120938E-2</v>
      </c>
    </row>
    <row r="11" spans="2:10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1934046364896</v>
      </c>
      <c r="F11" s="5" cm="1">
        <f t="array" ref="F11">_xll.\TMX.BOND.INSTRUMENT(E11, dated)</f>
        <v>1934037280896</v>
      </c>
      <c r="H11">
        <v>0.4</v>
      </c>
      <c r="I11">
        <f ca="1"/>
        <v>4.9283011639120938E-2</v>
      </c>
    </row>
    <row r="12" spans="2:10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1934046362880</v>
      </c>
      <c r="F12" s="5" cm="1">
        <f t="array" ref="F12">_xll.\TMX.BOND.INSTRUMENT(E12, dated)</f>
        <v>1934037283712</v>
      </c>
      <c r="H12">
        <v>0.5</v>
      </c>
      <c r="I12">
        <f ca="1"/>
        <v>4.9283011639120938E-2</v>
      </c>
    </row>
    <row r="13" spans="2:10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1934046364800</v>
      </c>
      <c r="F13" s="5" cm="1">
        <f t="array" ref="F13">_xll.\TMX.BOND.INSTRUMENT(E13, dated)</f>
        <v>1934037283536</v>
      </c>
      <c r="H13">
        <v>0.6</v>
      </c>
      <c r="I13">
        <f ca="1"/>
        <v>4.9283011639120938E-2</v>
      </c>
    </row>
    <row r="14" spans="2:10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1934046362112</v>
      </c>
      <c r="F14" s="5" cm="1">
        <f t="array" ref="F14">_xll.\TMX.BOND.INSTRUMENT(E14, dated)</f>
        <v>1934037282128</v>
      </c>
      <c r="H14">
        <v>0.7</v>
      </c>
      <c r="I14">
        <f ca="1"/>
        <v>4.9283011639120938E-2</v>
      </c>
    </row>
    <row r="15" spans="2:10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1934046366528</v>
      </c>
      <c r="F15" s="5" cm="1">
        <f t="array" ref="F15">_xll.\TMX.BOND.INSTRUMENT(E15, dated)</f>
        <v>1934037279136</v>
      </c>
      <c r="H15">
        <v>0.79999999999999993</v>
      </c>
      <c r="I15">
        <f ca="1"/>
        <v>4.9283011639120938E-2</v>
      </c>
    </row>
    <row r="16" spans="2:10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1934046365568</v>
      </c>
      <c r="F16" s="5" cm="1">
        <f t="array" ref="F16">_xll.\TMX.BOND.INSTRUMENT(E16, dated)</f>
        <v>1934037283184</v>
      </c>
      <c r="H16">
        <v>0.89999999999999991</v>
      </c>
      <c r="I16">
        <f ca="1"/>
        <v>4.9283011639120938E-2</v>
      </c>
    </row>
    <row r="17" spans="5:9" x14ac:dyDescent="0.3">
      <c r="H17">
        <v>0.99999999999999989</v>
      </c>
      <c r="I17">
        <f ca="1"/>
        <v>4.9283011639120938E-2</v>
      </c>
    </row>
    <row r="18" spans="5:9" x14ac:dyDescent="0.3">
      <c r="E18" s="5"/>
      <c r="H18">
        <v>1.0999999999999999</v>
      </c>
      <c r="I18">
        <f ca="1"/>
        <v>6.1135468364413588E-2</v>
      </c>
    </row>
    <row r="19" spans="5:9" x14ac:dyDescent="0.3">
      <c r="H19">
        <v>1.2</v>
      </c>
      <c r="I19">
        <f ca="1"/>
        <v>6.1135468364413588E-2</v>
      </c>
    </row>
    <row r="20" spans="5:9" x14ac:dyDescent="0.3">
      <c r="H20">
        <v>1.3</v>
      </c>
      <c r="I20">
        <f ca="1"/>
        <v>6.1135468364413588E-2</v>
      </c>
    </row>
    <row r="21" spans="5:9" x14ac:dyDescent="0.3">
      <c r="H21">
        <v>1.4000000000000001</v>
      </c>
      <c r="I21">
        <f ca="1"/>
        <v>6.1135468364413588E-2</v>
      </c>
    </row>
    <row r="22" spans="5:9" x14ac:dyDescent="0.3">
      <c r="H22">
        <v>1.5000000000000002</v>
      </c>
      <c r="I22">
        <f ca="1"/>
        <v>6.1135468364413588E-2</v>
      </c>
    </row>
    <row r="23" spans="5:9" x14ac:dyDescent="0.3">
      <c r="H23">
        <v>1.6000000000000003</v>
      </c>
      <c r="I23">
        <f ca="1"/>
        <v>6.1135468364413588E-2</v>
      </c>
    </row>
    <row r="24" spans="5:9" x14ac:dyDescent="0.3">
      <c r="H24">
        <v>1.7000000000000004</v>
      </c>
      <c r="I24">
        <f ca="1"/>
        <v>6.1135468364413588E-2</v>
      </c>
    </row>
    <row r="25" spans="5:9" x14ac:dyDescent="0.3">
      <c r="H25">
        <v>1.8000000000000005</v>
      </c>
      <c r="I25">
        <f ca="1"/>
        <v>6.1135468364413588E-2</v>
      </c>
    </row>
    <row r="26" spans="5:9" x14ac:dyDescent="0.3">
      <c r="H26">
        <v>1.9000000000000006</v>
      </c>
      <c r="I26">
        <f ca="1"/>
        <v>6.1135468364413588E-2</v>
      </c>
    </row>
    <row r="27" spans="5:9" x14ac:dyDescent="0.3">
      <c r="H27">
        <v>2.0000000000000004</v>
      </c>
      <c r="I27">
        <f ca="1"/>
        <v>6.1135468364413588E-2</v>
      </c>
    </row>
    <row r="28" spans="5:9" x14ac:dyDescent="0.3">
      <c r="H28">
        <v>2.1000000000000005</v>
      </c>
      <c r="I28">
        <f ca="1"/>
        <v>3.7106733153595917E-2</v>
      </c>
    </row>
    <row r="29" spans="5:9" x14ac:dyDescent="0.3">
      <c r="H29">
        <v>2.2000000000000006</v>
      </c>
      <c r="I29">
        <f ca="1"/>
        <v>3.7106733153595917E-2</v>
      </c>
    </row>
    <row r="30" spans="5:9" x14ac:dyDescent="0.3">
      <c r="H30">
        <v>2.3000000000000007</v>
      </c>
      <c r="I30">
        <f ca="1"/>
        <v>3.7106733153595917E-2</v>
      </c>
    </row>
    <row r="31" spans="5:9" x14ac:dyDescent="0.3">
      <c r="H31">
        <v>2.4000000000000008</v>
      </c>
      <c r="I31">
        <f ca="1"/>
        <v>3.7106733153595917E-2</v>
      </c>
    </row>
    <row r="32" spans="5:9" x14ac:dyDescent="0.3">
      <c r="H32">
        <v>2.5000000000000009</v>
      </c>
      <c r="I32">
        <f ca="1"/>
        <v>3.7106733153595917E-2</v>
      </c>
    </row>
    <row r="33" spans="8:9" x14ac:dyDescent="0.3">
      <c r="H33">
        <v>2.600000000000001</v>
      </c>
      <c r="I33">
        <f ca="1"/>
        <v>3.7106733153595917E-2</v>
      </c>
    </row>
    <row r="34" spans="8:9" x14ac:dyDescent="0.3">
      <c r="H34">
        <v>2.7000000000000011</v>
      </c>
      <c r="I34">
        <f ca="1"/>
        <v>3.7106733153595917E-2</v>
      </c>
    </row>
    <row r="35" spans="8:9" x14ac:dyDescent="0.3">
      <c r="H35">
        <v>2.8000000000000012</v>
      </c>
      <c r="I35">
        <f ca="1"/>
        <v>3.7106733153595917E-2</v>
      </c>
    </row>
    <row r="36" spans="8:9" x14ac:dyDescent="0.3">
      <c r="H36">
        <v>2.9000000000000012</v>
      </c>
      <c r="I36">
        <f ca="1"/>
        <v>3.7106733153595917E-2</v>
      </c>
    </row>
    <row r="37" spans="8:9" x14ac:dyDescent="0.3">
      <c r="H37">
        <v>3.0000000000000013</v>
      </c>
      <c r="I37">
        <f ca="1"/>
        <v>3.7106733153595917E-2</v>
      </c>
    </row>
    <row r="38" spans="8:9" x14ac:dyDescent="0.3">
      <c r="H38">
        <v>3.1000000000000014</v>
      </c>
      <c r="I38">
        <f ca="1"/>
        <v>4.9416346883645927E-2</v>
      </c>
    </row>
    <row r="39" spans="8:9" x14ac:dyDescent="0.3">
      <c r="H39">
        <v>3.2000000000000015</v>
      </c>
      <c r="I39">
        <f ca="1"/>
        <v>4.9416346883645927E-2</v>
      </c>
    </row>
    <row r="40" spans="8:9" x14ac:dyDescent="0.3">
      <c r="H40">
        <v>3.3000000000000016</v>
      </c>
      <c r="I40">
        <f ca="1"/>
        <v>4.9416346883645927E-2</v>
      </c>
    </row>
    <row r="41" spans="8:9" x14ac:dyDescent="0.3">
      <c r="H41">
        <v>3.4000000000000017</v>
      </c>
      <c r="I41">
        <f ca="1"/>
        <v>4.9416346883645927E-2</v>
      </c>
    </row>
    <row r="42" spans="8:9" x14ac:dyDescent="0.3">
      <c r="H42">
        <v>3.5000000000000018</v>
      </c>
      <c r="I42">
        <f ca="1"/>
        <v>4.9416346883645927E-2</v>
      </c>
    </row>
    <row r="43" spans="8:9" x14ac:dyDescent="0.3">
      <c r="H43">
        <v>3.6000000000000019</v>
      </c>
      <c r="I43">
        <f ca="1"/>
        <v>4.9416346883645927E-2</v>
      </c>
    </row>
    <row r="44" spans="8:9" x14ac:dyDescent="0.3">
      <c r="H44">
        <v>3.700000000000002</v>
      </c>
      <c r="I44">
        <f ca="1"/>
        <v>4.9416346883645927E-2</v>
      </c>
    </row>
    <row r="45" spans="8:9" x14ac:dyDescent="0.3">
      <c r="H45">
        <v>3.800000000000002</v>
      </c>
      <c r="I45">
        <f ca="1"/>
        <v>4.9416346883645927E-2</v>
      </c>
    </row>
    <row r="46" spans="8:9" x14ac:dyDescent="0.3">
      <c r="H46">
        <v>3.9000000000000021</v>
      </c>
      <c r="I46">
        <f ca="1"/>
        <v>4.9416346883645927E-2</v>
      </c>
    </row>
    <row r="47" spans="8:9" x14ac:dyDescent="0.3">
      <c r="H47">
        <v>4.0000000000000018</v>
      </c>
      <c r="I47">
        <f ca="1"/>
        <v>4.9416346883645927E-2</v>
      </c>
    </row>
    <row r="48" spans="8:9" x14ac:dyDescent="0.3">
      <c r="H48">
        <v>4.1000000000000014</v>
      </c>
      <c r="I48">
        <f ca="1"/>
        <v>4.9283034281338421E-2</v>
      </c>
    </row>
    <row r="49" spans="8:9" x14ac:dyDescent="0.3">
      <c r="H49">
        <v>4.2000000000000011</v>
      </c>
      <c r="I49">
        <f ca="1"/>
        <v>4.9283034281338421E-2</v>
      </c>
    </row>
    <row r="50" spans="8:9" x14ac:dyDescent="0.3">
      <c r="H50">
        <v>4.3000000000000007</v>
      </c>
      <c r="I50">
        <f ca="1"/>
        <v>4.9283034281338421E-2</v>
      </c>
    </row>
    <row r="51" spans="8:9" x14ac:dyDescent="0.3">
      <c r="H51">
        <v>4.4000000000000004</v>
      </c>
      <c r="I51">
        <f ca="1"/>
        <v>4.9283034281338421E-2</v>
      </c>
    </row>
    <row r="52" spans="8:9" x14ac:dyDescent="0.3">
      <c r="H52">
        <v>4.5</v>
      </c>
      <c r="I52">
        <f ca="1"/>
        <v>4.9283034281338421E-2</v>
      </c>
    </row>
    <row r="53" spans="8:9" x14ac:dyDescent="0.3">
      <c r="H53">
        <v>4.5999999999999996</v>
      </c>
      <c r="I53">
        <f ca="1"/>
        <v>4.9283034281338421E-2</v>
      </c>
    </row>
    <row r="54" spans="8:9" x14ac:dyDescent="0.3">
      <c r="H54">
        <v>4.6999999999999993</v>
      </c>
      <c r="I54">
        <f ca="1"/>
        <v>4.9283034281338421E-2</v>
      </c>
    </row>
    <row r="55" spans="8:9" x14ac:dyDescent="0.3">
      <c r="H55">
        <v>4.7999999999999989</v>
      </c>
      <c r="I55">
        <f ca="1"/>
        <v>4.9283034281338421E-2</v>
      </c>
    </row>
    <row r="56" spans="8:9" x14ac:dyDescent="0.3">
      <c r="H56">
        <v>4.8999999999999986</v>
      </c>
      <c r="I56">
        <f ca="1"/>
        <v>4.9283034281338421E-2</v>
      </c>
    </row>
    <row r="57" spans="8:9" x14ac:dyDescent="0.3">
      <c r="H57">
        <v>4.9999999999999982</v>
      </c>
      <c r="I57">
        <f ca="1"/>
        <v>4.9283034281338421E-2</v>
      </c>
    </row>
    <row r="58" spans="8:9" x14ac:dyDescent="0.3">
      <c r="H58">
        <v>5.0999999999999979</v>
      </c>
      <c r="I58">
        <f ca="1"/>
        <v>4.9416357722100471E-2</v>
      </c>
    </row>
    <row r="59" spans="8:9" x14ac:dyDescent="0.3">
      <c r="H59">
        <v>5.1999999999999975</v>
      </c>
      <c r="I59">
        <f ca="1"/>
        <v>4.9416357722100471E-2</v>
      </c>
    </row>
    <row r="60" spans="8:9" x14ac:dyDescent="0.3">
      <c r="H60">
        <v>5.2999999999999972</v>
      </c>
      <c r="I60">
        <f ca="1"/>
        <v>4.9416357722100471E-2</v>
      </c>
    </row>
    <row r="61" spans="8:9" x14ac:dyDescent="0.3">
      <c r="H61">
        <v>5.3999999999999968</v>
      </c>
      <c r="I61">
        <f ca="1"/>
        <v>4.9416357722100471E-2</v>
      </c>
    </row>
    <row r="62" spans="8:9" x14ac:dyDescent="0.3">
      <c r="H62">
        <v>5.4999999999999964</v>
      </c>
      <c r="I62">
        <f ca="1"/>
        <v>4.9416357722100471E-2</v>
      </c>
    </row>
    <row r="63" spans="8:9" x14ac:dyDescent="0.3">
      <c r="H63">
        <v>5.5999999999999961</v>
      </c>
      <c r="I63">
        <f ca="1"/>
        <v>4.9416357722100471E-2</v>
      </c>
    </row>
    <row r="64" spans="8:9" x14ac:dyDescent="0.3">
      <c r="H64">
        <v>5.6999999999999957</v>
      </c>
      <c r="I64">
        <f ca="1"/>
        <v>4.9416357722100471E-2</v>
      </c>
    </row>
    <row r="65" spans="8:9" x14ac:dyDescent="0.3">
      <c r="H65">
        <v>5.7999999999999954</v>
      </c>
      <c r="I65">
        <f ca="1"/>
        <v>4.9416357722100471E-2</v>
      </c>
    </row>
    <row r="66" spans="8:9" x14ac:dyDescent="0.3">
      <c r="H66">
        <v>5.899999999999995</v>
      </c>
      <c r="I66">
        <f ca="1"/>
        <v>4.9416357722100471E-2</v>
      </c>
    </row>
    <row r="67" spans="8:9" x14ac:dyDescent="0.3">
      <c r="H67">
        <v>5.9999999999999947</v>
      </c>
      <c r="I67">
        <f ca="1"/>
        <v>4.9416357722100471E-2</v>
      </c>
    </row>
    <row r="68" spans="8:9" x14ac:dyDescent="0.3">
      <c r="H68">
        <v>6.0999999999999943</v>
      </c>
      <c r="I68">
        <f ca="1"/>
        <v>4.9416357722100471E-2</v>
      </c>
    </row>
    <row r="69" spans="8:9" x14ac:dyDescent="0.3">
      <c r="H69">
        <v>6.199999999999994</v>
      </c>
      <c r="I69">
        <f ca="1"/>
        <v>4.9416357722100471E-2</v>
      </c>
    </row>
    <row r="70" spans="8:9" x14ac:dyDescent="0.3">
      <c r="H70">
        <v>6.2999999999999936</v>
      </c>
      <c r="I70">
        <f ca="1"/>
        <v>4.9416357722100471E-2</v>
      </c>
    </row>
    <row r="71" spans="8:9" x14ac:dyDescent="0.3">
      <c r="H71">
        <v>6.3999999999999932</v>
      </c>
      <c r="I71">
        <f ca="1"/>
        <v>4.9416357722100471E-2</v>
      </c>
    </row>
    <row r="72" spans="8:9" x14ac:dyDescent="0.3">
      <c r="H72">
        <v>6.4999999999999929</v>
      </c>
      <c r="I72">
        <f ca="1"/>
        <v>4.9416357722100471E-2</v>
      </c>
    </row>
    <row r="73" spans="8:9" x14ac:dyDescent="0.3">
      <c r="H73">
        <v>6.5999999999999925</v>
      </c>
      <c r="I73">
        <f ca="1"/>
        <v>4.9416357722100471E-2</v>
      </c>
    </row>
    <row r="74" spans="8:9" x14ac:dyDescent="0.3">
      <c r="H74">
        <v>6.6999999999999922</v>
      </c>
      <c r="I74">
        <f ca="1"/>
        <v>4.9416357722100471E-2</v>
      </c>
    </row>
    <row r="75" spans="8:9" x14ac:dyDescent="0.3">
      <c r="H75">
        <v>6.7999999999999918</v>
      </c>
      <c r="I75">
        <f ca="1"/>
        <v>4.9416357722100471E-2</v>
      </c>
    </row>
    <row r="76" spans="8:9" x14ac:dyDescent="0.3">
      <c r="H76">
        <v>6.8999999999999915</v>
      </c>
      <c r="I76">
        <f ca="1"/>
        <v>4.9416357722100471E-2</v>
      </c>
    </row>
    <row r="77" spans="8:9" x14ac:dyDescent="0.3">
      <c r="H77">
        <v>6.9999999999999911</v>
      </c>
      <c r="I77">
        <f ca="1"/>
        <v>4.9416357722100471E-2</v>
      </c>
    </row>
    <row r="78" spans="8:9" x14ac:dyDescent="0.3">
      <c r="H78">
        <v>7.0999999999999908</v>
      </c>
      <c r="I78">
        <f ca="1"/>
        <v>4.9416357722100471E-2</v>
      </c>
    </row>
    <row r="79" spans="8:9" x14ac:dyDescent="0.3">
      <c r="H79">
        <v>7.1999999999999904</v>
      </c>
      <c r="I79">
        <f ca="1"/>
        <v>4.9416357722100471E-2</v>
      </c>
    </row>
    <row r="80" spans="8:9" x14ac:dyDescent="0.3">
      <c r="H80">
        <v>7.2999999999999901</v>
      </c>
      <c r="I80">
        <f ca="1"/>
        <v>4.9416357722100471E-2</v>
      </c>
    </row>
    <row r="81" spans="8:9" x14ac:dyDescent="0.3">
      <c r="H81">
        <v>7.3999999999999897</v>
      </c>
      <c r="I81">
        <f ca="1"/>
        <v>4.9416357722100471E-2</v>
      </c>
    </row>
    <row r="82" spans="8:9" x14ac:dyDescent="0.3">
      <c r="H82">
        <v>7.4999999999999893</v>
      </c>
      <c r="I82">
        <f ca="1"/>
        <v>4.9416357722100471E-2</v>
      </c>
    </row>
    <row r="83" spans="8:9" x14ac:dyDescent="0.3">
      <c r="H83">
        <v>7.599999999999989</v>
      </c>
      <c r="I83">
        <f ca="1"/>
        <v>4.9416357722100471E-2</v>
      </c>
    </row>
    <row r="84" spans="8:9" x14ac:dyDescent="0.3">
      <c r="H84">
        <v>7.6999999999999886</v>
      </c>
      <c r="I84">
        <f ca="1"/>
        <v>4.9416357722100471E-2</v>
      </c>
    </row>
    <row r="85" spans="8:9" x14ac:dyDescent="0.3">
      <c r="H85">
        <v>7.7999999999999883</v>
      </c>
      <c r="I85">
        <f ca="1"/>
        <v>4.9416357722100471E-2</v>
      </c>
    </row>
    <row r="86" spans="8:9" x14ac:dyDescent="0.3">
      <c r="H86">
        <v>7.8999999999999879</v>
      </c>
      <c r="I86">
        <f ca="1"/>
        <v>4.9416357722100471E-2</v>
      </c>
    </row>
    <row r="87" spans="8:9" x14ac:dyDescent="0.3">
      <c r="H87">
        <v>7.9999999999999876</v>
      </c>
      <c r="I87">
        <f ca="1"/>
        <v>4.9416357722100471E-2</v>
      </c>
    </row>
    <row r="88" spans="8:9" x14ac:dyDescent="0.3">
      <c r="H88">
        <v>8.0999999999999872</v>
      </c>
      <c r="I88">
        <f ca="1"/>
        <v>4.9283035684261692E-2</v>
      </c>
    </row>
    <row r="89" spans="8:9" x14ac:dyDescent="0.3">
      <c r="H89">
        <v>8.1999999999999869</v>
      </c>
      <c r="I89">
        <f ca="1"/>
        <v>4.9283035684261692E-2</v>
      </c>
    </row>
    <row r="90" spans="8:9" x14ac:dyDescent="0.3">
      <c r="H90">
        <v>8.2999999999999865</v>
      </c>
      <c r="I90">
        <f ca="1"/>
        <v>4.9283035684261692E-2</v>
      </c>
    </row>
    <row r="91" spans="8:9" x14ac:dyDescent="0.3">
      <c r="H91">
        <v>8.3999999999999861</v>
      </c>
      <c r="I91">
        <f ca="1"/>
        <v>4.9283035684261692E-2</v>
      </c>
    </row>
    <row r="92" spans="8:9" x14ac:dyDescent="0.3">
      <c r="H92">
        <v>8.4999999999999858</v>
      </c>
      <c r="I92">
        <f ca="1"/>
        <v>4.9283035684261692E-2</v>
      </c>
    </row>
    <row r="93" spans="8:9" x14ac:dyDescent="0.3">
      <c r="H93">
        <v>8.5999999999999854</v>
      </c>
      <c r="I93">
        <f ca="1"/>
        <v>4.9283035684261692E-2</v>
      </c>
    </row>
    <row r="94" spans="8:9" x14ac:dyDescent="0.3">
      <c r="H94">
        <v>8.6999999999999851</v>
      </c>
      <c r="I94">
        <f ca="1"/>
        <v>4.9283035684261692E-2</v>
      </c>
    </row>
    <row r="95" spans="8:9" x14ac:dyDescent="0.3">
      <c r="H95">
        <v>8.7999999999999847</v>
      </c>
      <c r="I95">
        <f ca="1"/>
        <v>4.9283035684261692E-2</v>
      </c>
    </row>
    <row r="96" spans="8:9" x14ac:dyDescent="0.3">
      <c r="H96">
        <v>8.8999999999999844</v>
      </c>
      <c r="I96">
        <f ca="1"/>
        <v>4.9283035684261692E-2</v>
      </c>
    </row>
    <row r="97" spans="8:9" x14ac:dyDescent="0.3">
      <c r="H97">
        <v>8.999999999999984</v>
      </c>
      <c r="I97">
        <f ca="1"/>
        <v>4.9283035684261692E-2</v>
      </c>
    </row>
    <row r="98" spans="8:9" x14ac:dyDescent="0.3">
      <c r="H98">
        <v>9.0999999999999837</v>
      </c>
      <c r="I98">
        <f ca="1"/>
        <v>4.9416357721872757E-2</v>
      </c>
    </row>
    <row r="99" spans="8:9" x14ac:dyDescent="0.3">
      <c r="H99">
        <v>9.1999999999999833</v>
      </c>
      <c r="I99">
        <f ca="1"/>
        <v>4.9416357721872757E-2</v>
      </c>
    </row>
    <row r="100" spans="8:9" x14ac:dyDescent="0.3">
      <c r="H100">
        <v>9.2999999999999829</v>
      </c>
      <c r="I100">
        <f ca="1"/>
        <v>4.9416357721872757E-2</v>
      </c>
    </row>
    <row r="101" spans="8:9" x14ac:dyDescent="0.3">
      <c r="H101">
        <v>9.3999999999999826</v>
      </c>
      <c r="I101">
        <f ca="1"/>
        <v>4.9416357721872757E-2</v>
      </c>
    </row>
    <row r="102" spans="8:9" x14ac:dyDescent="0.3">
      <c r="H102">
        <v>9.4999999999999822</v>
      </c>
      <c r="I102">
        <f ca="1"/>
        <v>4.9416357721872757E-2</v>
      </c>
    </row>
    <row r="103" spans="8:9" x14ac:dyDescent="0.3">
      <c r="H103">
        <v>9.5999999999999819</v>
      </c>
      <c r="I103">
        <f ca="1"/>
        <v>4.9416357721872757E-2</v>
      </c>
    </row>
    <row r="104" spans="8:9" x14ac:dyDescent="0.3">
      <c r="H104">
        <v>9.6999999999999815</v>
      </c>
      <c r="I104">
        <f ca="1"/>
        <v>4.9416357721872757E-2</v>
      </c>
    </row>
    <row r="105" spans="8:9" x14ac:dyDescent="0.3">
      <c r="H105">
        <v>9.7999999999999812</v>
      </c>
      <c r="I105">
        <f ca="1"/>
        <v>4.9416357721872757E-2</v>
      </c>
    </row>
    <row r="106" spans="8:9" x14ac:dyDescent="0.3">
      <c r="H106">
        <v>9.8999999999999808</v>
      </c>
      <c r="I106">
        <f ca="1"/>
        <v>4.9416357721872757E-2</v>
      </c>
    </row>
    <row r="107" spans="8:9" x14ac:dyDescent="0.3">
      <c r="H107">
        <v>9.9999999999999805</v>
      </c>
      <c r="I107">
        <f ca="1"/>
        <v>4.9416357721872757E-2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2"/>
  <sheetViews>
    <sheetView workbookViewId="0">
      <selection activeCell="E11" sqref="E11"/>
    </sheetView>
  </sheetViews>
  <sheetFormatPr defaultRowHeight="18.75" x14ac:dyDescent="0.3"/>
  <cols>
    <col min="1" max="1" width="3.69921875" customWidth="1"/>
    <col min="5" max="5" width="11.69921875" bestFit="1" customWidth="1"/>
  </cols>
  <sheetData>
    <row r="2" spans="2:5" x14ac:dyDescent="0.3">
      <c r="B2" s="3" t="s">
        <v>50</v>
      </c>
      <c r="C2" s="9">
        <v>0.1</v>
      </c>
    </row>
    <row r="3" spans="2:5" x14ac:dyDescent="0.3">
      <c r="B3" s="3" t="s">
        <v>51</v>
      </c>
      <c r="C3" s="9">
        <v>0.01</v>
      </c>
    </row>
    <row r="4" spans="2:5" x14ac:dyDescent="0.3">
      <c r="B4" s="3" t="s">
        <v>49</v>
      </c>
      <c r="C4" s="9">
        <v>10</v>
      </c>
    </row>
    <row r="5" spans="2:5" x14ac:dyDescent="0.3">
      <c r="B5" s="3" t="s">
        <v>52</v>
      </c>
      <c r="C5" s="9">
        <v>20</v>
      </c>
    </row>
    <row r="6" spans="2:5" x14ac:dyDescent="0.3">
      <c r="B6" s="3" t="s">
        <v>54</v>
      </c>
      <c r="C6">
        <f>EXP(-r_*t)</f>
        <v>0.36787944117144233</v>
      </c>
    </row>
    <row r="7" spans="2:5" x14ac:dyDescent="0.3">
      <c r="B7" s="3" t="s">
        <v>55</v>
      </c>
      <c r="C7">
        <f>EXP(-r_*u)</f>
        <v>0.1353352832366127</v>
      </c>
      <c r="E7">
        <f>Du/Dt</f>
        <v>0.36787944117144233</v>
      </c>
    </row>
    <row r="8" spans="2:5" x14ac:dyDescent="0.3">
      <c r="B8" s="3" t="s">
        <v>53</v>
      </c>
      <c r="C8">
        <f ca="1">EXP(-r_*(u-t)-σ^2*(u-t)^3/6-σ*(u-t)*_xlfn.NORM.S.INV(RAND())*SQRT(t))</f>
        <v>0.41689632315057579</v>
      </c>
    </row>
    <row r="9" spans="2:5" x14ac:dyDescent="0.3">
      <c r="B9" s="3" t="s">
        <v>59</v>
      </c>
      <c r="C9">
        <f ca="1">LN(C8)</f>
        <v>-0.87491771363397619</v>
      </c>
    </row>
    <row r="10" spans="2:5" x14ac:dyDescent="0.3">
      <c r="B10" s="10" t="s">
        <v>56</v>
      </c>
      <c r="C10" cm="1">
        <f t="array" ref="C10">_xll.TMX.HO_LEE.ED(Dt, Du, t, u, σ)</f>
        <v>0.34993774911115538</v>
      </c>
      <c r="D10" s="16" cm="1">
        <f t="array" aca="1" ref="D10" ca="1">_xll.MONTE.MEAN(C8)</f>
        <v>0.38067879287846046</v>
      </c>
    </row>
    <row r="11" spans="2:5" x14ac:dyDescent="0.3">
      <c r="B11" s="10" t="s">
        <v>57</v>
      </c>
      <c r="C11" cm="1">
        <f t="array" ref="C11">_xll.TMX.HO_LEE.ELogD(Dt, Du, t, u, σ)</f>
        <v>-1.1000000000000001</v>
      </c>
      <c r="D11" s="16">
        <f t="array" aca="1" ref="D11:D12" ca="1">_xll.MONTE.STDEV(logD)</f>
        <v>-1.016185039685831</v>
      </c>
      <c r="E11">
        <f ca="1">(C11-D11)/D12</f>
        <v>-0.26395273052976648</v>
      </c>
    </row>
    <row r="12" spans="2:5" x14ac:dyDescent="0.3">
      <c r="B12" s="10" t="s">
        <v>58</v>
      </c>
      <c r="C12" cm="1">
        <f t="array" ref="C12">_xll.TMX.HO_LEE.VarLogD(t, u, σ)</f>
        <v>0.1</v>
      </c>
      <c r="D12" s="16">
        <f ca="1"/>
        <v>0.31753776574293535</v>
      </c>
      <c r="E12" s="16">
        <f>SQRT(C12)</f>
        <v>0.31622776601683794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r_</vt:lpstr>
      <vt:lpstr>rate</vt:lpstr>
      <vt:lpstr>s</vt:lpstr>
      <vt:lpstr>shift</vt:lpstr>
      <vt:lpstr>t</vt:lpstr>
      <vt:lpstr>time</vt:lpstr>
      <vt:lpstr>translate</vt:lpstr>
      <vt:lpstr>u</vt:lpstr>
      <vt:lpstr>years</vt:lpstr>
      <vt:lpstr>years_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2023-06-25T18:24:29Z</dcterms:modified>
</cp:coreProperties>
</file>