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A0823582-6D0A-4E41-8280-228E726DE51F}" xr6:coauthVersionLast="47" xr6:coauthVersionMax="47" xr10:uidLastSave="{00000000-0000-0000-0000-000000000000}"/>
  <bookViews>
    <workbookView xWindow="1500" yWindow="1350" windowWidth="27030" windowHeight="14130" activeTab="5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Curve!$I$2</definedName>
    <definedName name="curve">Bootstrap!$G$6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Curve!$I$3</definedName>
    <definedName name="t">'Ho-Lee'!$C$4</definedName>
    <definedName name="time">Curve!$B$3:$B$5</definedName>
    <definedName name="translate">Curve!$I$5</definedName>
    <definedName name="u">'Ho-Lee'!$C$5</definedName>
    <definedName name="years">Date!$C$3</definedName>
    <definedName name="years_">Date!$C$8</definedName>
    <definedName name="σ">'Ho-Lee'!$C$3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2" i="6"/>
  <c r="C7" i="7"/>
  <c r="C6" i="7"/>
  <c r="C8" i="7"/>
  <c r="C9" i="7" s="1"/>
  <c r="E5" i="6"/>
  <c r="C3" i="3"/>
  <c r="C8" i="1"/>
  <c r="C7" i="5"/>
  <c r="K3" i="3" a="1"/>
  <c r="K3" i="3" s="1"/>
  <c r="C4" i="4" a="1"/>
  <c r="C5" i="4" a="1"/>
  <c r="C6" i="4" a="1"/>
  <c r="E3" i="4" a="1"/>
  <c r="E5" i="4" a="1"/>
  <c r="E7" i="4" a="1"/>
  <c r="E7" i="1" a="1"/>
  <c r="C3" i="4" a="1"/>
  <c r="C10" i="7" a="1"/>
  <c r="E6" i="4" a="1"/>
  <c r="E4" i="4" a="1"/>
  <c r="C12" i="7" a="1"/>
  <c r="C11" i="7" a="1"/>
  <c r="C6" i="5" a="1"/>
  <c r="C9" i="6" a="1"/>
  <c r="C5" i="6" a="1"/>
  <c r="I2" i="3" a="1"/>
  <c r="C7" i="6" a="1"/>
  <c r="C8" i="6" a="1"/>
  <c r="D10" i="7" a="1"/>
  <c r="D11" i="7" a="1"/>
  <c r="C6" i="6" a="1"/>
  <c r="D9" i="6" a="1"/>
  <c r="D6" i="6" a="1"/>
  <c r="C6" i="5" l="1"/>
  <c r="I2" i="3"/>
  <c r="E7" i="7"/>
  <c r="C9" i="6"/>
  <c r="C8" i="6"/>
  <c r="C12" i="7"/>
  <c r="E12" i="7" s="1"/>
  <c r="D12" i="7"/>
  <c r="D11" i="7"/>
  <c r="C11" i="7"/>
  <c r="D10" i="7"/>
  <c r="C10" i="7"/>
  <c r="D9" i="6"/>
  <c r="D6" i="6"/>
  <c r="C7" i="6"/>
  <c r="C5" i="6"/>
  <c r="C6" i="6"/>
  <c r="E7" i="1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D2" i="5" a="1"/>
  <c r="L19" i="3" a="1"/>
  <c r="L38" i="3" a="1"/>
  <c r="L6" i="3" a="1"/>
  <c r="L13" i="3" a="1"/>
  <c r="L20" i="3" a="1"/>
  <c r="M43" i="3" a="1"/>
  <c r="M7" i="3" a="1"/>
  <c r="M41" i="3" a="1"/>
  <c r="M38" i="3" a="1"/>
  <c r="M25" i="3" a="1"/>
  <c r="N36" i="3" a="1"/>
  <c r="N30" i="3" a="1"/>
  <c r="N12" i="3" a="1"/>
  <c r="E3" i="3" a="1"/>
  <c r="L25" i="3" a="1"/>
  <c r="M19" i="3" a="1"/>
  <c r="N28" i="3" a="1"/>
  <c r="C4" i="2" a="1"/>
  <c r="L15" i="3" a="1"/>
  <c r="L34" i="3" a="1"/>
  <c r="L41" i="3" a="1"/>
  <c r="L9" i="3" a="1"/>
  <c r="L16" i="3" a="1"/>
  <c r="M35" i="3" a="1"/>
  <c r="M36" i="3" a="1"/>
  <c r="M21" i="3" a="1"/>
  <c r="M34" i="3" a="1"/>
  <c r="M13" i="3" a="1"/>
  <c r="N31" i="3" a="1"/>
  <c r="N35" i="3" a="1"/>
  <c r="N22" i="3" a="1"/>
  <c r="N43" i="3" a="1"/>
  <c r="N9" i="3" a="1"/>
  <c r="L30" i="3" a="1"/>
  <c r="L37" i="3" a="1"/>
  <c r="L5" i="3" a="1"/>
  <c r="L12" i="3" a="1"/>
  <c r="M31" i="3" a="1"/>
  <c r="M5" i="3" a="1"/>
  <c r="M32" i="3" a="1"/>
  <c r="N27" i="3" a="1"/>
  <c r="N41" i="3" a="1"/>
  <c r="E6" i="6" a="1"/>
  <c r="N4" i="3" a="1"/>
  <c r="L32" i="3" a="1"/>
  <c r="M20" i="3" a="1"/>
  <c r="N25" i="3" a="1"/>
  <c r="L11" i="3" a="1"/>
  <c r="M24" i="3" a="1"/>
  <c r="M26" i="3" a="1"/>
  <c r="N19" i="3" a="1"/>
  <c r="N14" i="3" a="1"/>
  <c r="N5" i="3" a="1"/>
  <c r="M4" i="3" a="1"/>
  <c r="N15" i="3" a="1"/>
  <c r="N29" i="3" a="1"/>
  <c r="C8" i="5" a="1"/>
  <c r="L18" i="3" a="1"/>
  <c r="M30" i="3" a="1"/>
  <c r="N26" i="3" a="1"/>
  <c r="N3" i="3" a="1"/>
  <c r="L7" i="3" a="1"/>
  <c r="L26" i="3" a="1"/>
  <c r="L33" i="3" a="1"/>
  <c r="L40" i="3" a="1"/>
  <c r="L8" i="3" a="1"/>
  <c r="M27" i="3" a="1"/>
  <c r="M12" i="3" a="1"/>
  <c r="M40" i="3" a="1"/>
  <c r="M22" i="3" a="1"/>
  <c r="M16" i="3" a="1"/>
  <c r="N7" i="3" a="1"/>
  <c r="N23" i="3" a="1"/>
  <c r="N10" i="3" a="1"/>
  <c r="N33" i="3" a="1"/>
  <c r="N24" i="3" a="1"/>
  <c r="C11" i="2" a="1"/>
  <c r="L39" i="3" a="1"/>
  <c r="L22" i="3" a="1"/>
  <c r="L29" i="3" a="1"/>
  <c r="L36" i="3" a="1"/>
  <c r="L4" i="3" a="1"/>
  <c r="M23" i="3" a="1"/>
  <c r="M42" i="3" a="1"/>
  <c r="M28" i="3" a="1"/>
  <c r="M14" i="3" a="1"/>
  <c r="N34" i="3" a="1"/>
  <c r="N40" i="3" a="1"/>
  <c r="L31" i="3" a="1"/>
  <c r="M37" i="3" a="1"/>
  <c r="M10" i="3" a="1"/>
  <c r="N37" i="3" a="1"/>
  <c r="L35" i="3" a="1"/>
  <c r="L23" i="3" a="1"/>
  <c r="L14" i="3" a="1"/>
  <c r="L21" i="3" a="1"/>
  <c r="L28" i="3" a="1"/>
  <c r="M17" i="3" a="1"/>
  <c r="M15" i="3" a="1"/>
  <c r="M18" i="3" a="1"/>
  <c r="M8" i="3" a="1"/>
  <c r="M33" i="3" a="1"/>
  <c r="N16" i="3" a="1"/>
  <c r="N18" i="3" a="1"/>
  <c r="N42" i="3" a="1"/>
  <c r="N32" i="3" a="1"/>
  <c r="N21" i="3" a="1"/>
  <c r="M3" i="3" a="1"/>
  <c r="L27" i="3" a="1"/>
  <c r="L42" i="3" a="1"/>
  <c r="L10" i="3" a="1"/>
  <c r="L17" i="3" a="1"/>
  <c r="L24" i="3" a="1"/>
  <c r="M9" i="3" a="1"/>
  <c r="M11" i="3" a="1"/>
  <c r="M6" i="3" a="1"/>
  <c r="M39" i="3" a="1"/>
  <c r="M29" i="3" a="1"/>
  <c r="N8" i="3" a="1"/>
  <c r="N6" i="3" a="1"/>
  <c r="N38" i="3" a="1"/>
  <c r="N20" i="3" a="1"/>
  <c r="N17" i="3" a="1"/>
  <c r="L3" i="3" a="1"/>
  <c r="N39" i="3" a="1"/>
  <c r="N13" i="3" a="1"/>
  <c r="L43" i="3" a="1"/>
  <c r="N11" i="3" a="1"/>
  <c r="L4" i="3" l="1"/>
  <c r="L8" i="3"/>
  <c r="L12" i="3"/>
  <c r="L16" i="3"/>
  <c r="L20" i="3"/>
  <c r="L24" i="3"/>
  <c r="L28" i="3"/>
  <c r="L32" i="3"/>
  <c r="L36" i="3"/>
  <c r="L40" i="3"/>
  <c r="L5" i="3"/>
  <c r="L9" i="3"/>
  <c r="L13" i="3"/>
  <c r="L17" i="3"/>
  <c r="L21" i="3"/>
  <c r="L25" i="3"/>
  <c r="L29" i="3"/>
  <c r="L33" i="3"/>
  <c r="L37" i="3"/>
  <c r="L41" i="3"/>
  <c r="L6" i="3"/>
  <c r="L10" i="3"/>
  <c r="L14" i="3"/>
  <c r="L18" i="3"/>
  <c r="L22" i="3"/>
  <c r="L26" i="3"/>
  <c r="L30" i="3"/>
  <c r="L34" i="3"/>
  <c r="L38" i="3"/>
  <c r="L42" i="3"/>
  <c r="L23" i="3"/>
  <c r="L31" i="3"/>
  <c r="L39" i="3"/>
  <c r="L7" i="3"/>
  <c r="L11" i="3"/>
  <c r="L15" i="3"/>
  <c r="L19" i="3"/>
  <c r="L27" i="3"/>
  <c r="L35" i="3"/>
  <c r="L43" i="3"/>
  <c r="M4" i="3"/>
  <c r="M16" i="3"/>
  <c r="M32" i="3"/>
  <c r="M13" i="3"/>
  <c r="M25" i="3"/>
  <c r="M29" i="3"/>
  <c r="M33" i="3"/>
  <c r="M10" i="3"/>
  <c r="M14" i="3"/>
  <c r="M22" i="3"/>
  <c r="M26" i="3"/>
  <c r="M34" i="3"/>
  <c r="M38" i="3"/>
  <c r="M39" i="3"/>
  <c r="M8" i="3"/>
  <c r="M20" i="3"/>
  <c r="M28" i="3"/>
  <c r="M40" i="3"/>
  <c r="M5" i="3"/>
  <c r="M21" i="3"/>
  <c r="M41" i="3"/>
  <c r="M6" i="3"/>
  <c r="M18" i="3"/>
  <c r="M30" i="3"/>
  <c r="M42" i="3"/>
  <c r="M12" i="3"/>
  <c r="M24" i="3"/>
  <c r="M36" i="3"/>
  <c r="M7" i="3"/>
  <c r="M11" i="3"/>
  <c r="M15" i="3"/>
  <c r="M19" i="3"/>
  <c r="M23" i="3"/>
  <c r="M27" i="3"/>
  <c r="M31" i="3"/>
  <c r="M35" i="3"/>
  <c r="M43" i="3"/>
  <c r="M9" i="3"/>
  <c r="M17" i="3"/>
  <c r="M37" i="3"/>
  <c r="N4" i="3"/>
  <c r="N24" i="3"/>
  <c r="N5" i="3"/>
  <c r="N9" i="3"/>
  <c r="N13" i="3"/>
  <c r="N17" i="3"/>
  <c r="N21" i="3"/>
  <c r="N25" i="3"/>
  <c r="N29" i="3"/>
  <c r="N33" i="3"/>
  <c r="N41" i="3"/>
  <c r="N43" i="3"/>
  <c r="N12" i="3"/>
  <c r="N20" i="3"/>
  <c r="N32" i="3"/>
  <c r="N37" i="3"/>
  <c r="N40" i="3"/>
  <c r="N10" i="3"/>
  <c r="N14" i="3"/>
  <c r="N22" i="3"/>
  <c r="N30" i="3"/>
  <c r="N38" i="3"/>
  <c r="N42" i="3"/>
  <c r="N11" i="3"/>
  <c r="N15" i="3"/>
  <c r="N23" i="3"/>
  <c r="N27" i="3"/>
  <c r="N35" i="3"/>
  <c r="N36" i="3"/>
  <c r="N6" i="3"/>
  <c r="N18" i="3"/>
  <c r="N26" i="3"/>
  <c r="N34" i="3"/>
  <c r="N7" i="3"/>
  <c r="N19" i="3"/>
  <c r="N31" i="3"/>
  <c r="N39" i="3"/>
  <c r="N8" i="3"/>
  <c r="N16" i="3"/>
  <c r="N28" i="3"/>
  <c r="N3" i="3"/>
  <c r="M3" i="3"/>
  <c r="L3" i="3"/>
  <c r="E3" i="3"/>
  <c r="E6" i="6"/>
  <c r="D8" i="6" s="1"/>
  <c r="E8" i="6" s="1"/>
  <c r="E9" i="6"/>
  <c r="E11" i="7"/>
  <c r="C8" i="5"/>
  <c r="D2" i="5"/>
  <c r="C11" i="2"/>
  <c r="D10" i="2" s="1"/>
  <c r="C4" i="2"/>
  <c r="D4" i="2" s="1"/>
  <c r="E12" i="1" a="1"/>
  <c r="E13" i="1" a="1"/>
  <c r="E11" i="1" a="1"/>
  <c r="E10" i="1" a="1"/>
  <c r="E9" i="1" a="1"/>
  <c r="E16" i="1" a="1"/>
  <c r="E14" i="1" a="1"/>
  <c r="E15" i="1" a="1"/>
  <c r="E2" i="5" a="1"/>
  <c r="C14" i="5" a="1"/>
  <c r="C9" i="5" a="1"/>
  <c r="E8" i="1" a="1"/>
  <c r="C6" i="2" a="1"/>
  <c r="C5" i="2" a="1"/>
  <c r="D7" i="6" l="1"/>
  <c r="E7" i="6" s="1"/>
  <c r="C9" i="5"/>
  <c r="C14" i="5"/>
  <c r="E2" i="5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F10" i="1" a="1"/>
  <c r="F15" i="1" a="1"/>
  <c r="F12" i="1" a="1"/>
  <c r="F16" i="1" a="1"/>
  <c r="F11" i="1" a="1"/>
  <c r="F14" i="1" a="1"/>
  <c r="F13" i="1" a="1"/>
  <c r="F9" i="1" a="1"/>
  <c r="F7" i="1" a="1"/>
  <c r="F2" i="5" a="1"/>
  <c r="F8" i="1" a="1"/>
  <c r="C7" i="2" a="1"/>
  <c r="C12" i="5" a="1"/>
  <c r="E14" i="5" a="1"/>
  <c r="C12" i="5" l="1"/>
  <c r="E14" i="5"/>
  <c r="G3" i="5"/>
  <c r="G4" i="5"/>
  <c r="G5" i="5"/>
  <c r="F2" i="5"/>
  <c r="G2" i="5" s="1"/>
  <c r="C7" i="2"/>
  <c r="D7" i="2" s="1"/>
  <c r="F15" i="1"/>
  <c r="F7" i="1"/>
  <c r="F13" i="1"/>
  <c r="F14" i="1"/>
  <c r="F8" i="1"/>
  <c r="F16" i="1"/>
  <c r="F9" i="1"/>
  <c r="F12" i="1"/>
  <c r="F11" i="1"/>
  <c r="F10" i="1"/>
  <c r="G6" i="1" a="1"/>
  <c r="G6" i="1" l="1"/>
  <c r="K21" i="1" a="1"/>
  <c r="F2" i="1" a="1"/>
  <c r="I7" i="1" a="1"/>
  <c r="F2" i="1" l="1"/>
  <c r="I7" i="1"/>
  <c r="K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<sst xmlns="http://schemas.openxmlformats.org/spreadsheetml/2006/main" count="72" uniqueCount="60">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</sst>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0"/>
    <numFmt numFmtId="166" formatCode="0.000%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quotePrefix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0.95851248793963784</c:v>
                </c:pt>
                <c:pt idx="1">
                  <c:v>0.95851248793963784</c:v>
                </c:pt>
                <c:pt idx="2">
                  <c:v>0.95851248793963784</c:v>
                </c:pt>
                <c:pt idx="3">
                  <c:v>0.95851248793963784</c:v>
                </c:pt>
                <c:pt idx="4">
                  <c:v>0.95851248793963784</c:v>
                </c:pt>
                <c:pt idx="5">
                  <c:v>0.95851248793963784</c:v>
                </c:pt>
                <c:pt idx="6">
                  <c:v>0.95851248793963784</c:v>
                </c:pt>
                <c:pt idx="7">
                  <c:v>0.95851248793963784</c:v>
                </c:pt>
                <c:pt idx="8">
                  <c:v>0.95851248793963784</c:v>
                </c:pt>
                <c:pt idx="9">
                  <c:v>0.95851248793963784</c:v>
                </c:pt>
                <c:pt idx="10">
                  <c:v>0.95851248793963784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0.95851248793963784</c:v>
                </c:pt>
                <c:pt idx="1">
                  <c:v>0.95851248793963784</c:v>
                </c:pt>
                <c:pt idx="2">
                  <c:v>0.95851248793963784</c:v>
                </c:pt>
                <c:pt idx="3">
                  <c:v>0.95851248793963784</c:v>
                </c:pt>
                <c:pt idx="4">
                  <c:v>0.95851248793963784</c:v>
                </c:pt>
                <c:pt idx="5">
                  <c:v>0.95851248793963784</c:v>
                </c:pt>
                <c:pt idx="6">
                  <c:v>0.95851248793963784</c:v>
                </c:pt>
                <c:pt idx="7">
                  <c:v>0.95851248793963784</c:v>
                </c:pt>
                <c:pt idx="8">
                  <c:v>0.95851248793963784</c:v>
                </c:pt>
                <c:pt idx="9">
                  <c:v>0.95851248793963784</c:v>
                </c:pt>
                <c:pt idx="10">
                  <c:v>0.95851248793963784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0.90859916123799112</c:v>
                </c:pt>
                <c:pt idx="2">
                  <c:v>0.82555243580238102</c:v>
                </c:pt>
                <c:pt idx="3">
                  <c:v>0.75009625072802388</c:v>
                </c:pt>
                <c:pt idx="4">
                  <c:v>0.68153682425924444</c:v>
                </c:pt>
                <c:pt idx="5">
                  <c:v>0.61924378687475368</c:v>
                </c:pt>
                <c:pt idx="6">
                  <c:v>0.56264438535623851</c:v>
                </c:pt>
                <c:pt idx="7">
                  <c:v>0.51121821660994338</c:v>
                </c:pt>
                <c:pt idx="8">
                  <c:v>0.46449244282137631</c:v>
                </c:pt>
                <c:pt idx="9">
                  <c:v>0.42203744394888804</c:v>
                </c:pt>
                <c:pt idx="10">
                  <c:v>0.38346286758298537</c:v>
                </c:pt>
                <c:pt idx="11">
                  <c:v>0.37586979406724619</c:v>
                </c:pt>
                <c:pt idx="12">
                  <c:v>0.36842707348079806</c:v>
                </c:pt>
                <c:pt idx="13">
                  <c:v>0.36113172863616871</c:v>
                </c:pt>
                <c:pt idx="14">
                  <c:v>0.35398084129814772</c:v>
                </c:pt>
                <c:pt idx="15">
                  <c:v>0.34697155101645349</c:v>
                </c:pt>
                <c:pt idx="16">
                  <c:v>0.34010105398151486</c:v>
                </c:pt>
                <c:pt idx="17">
                  <c:v>0.33336660190291001</c:v>
                </c:pt>
                <c:pt idx="18">
                  <c:v>0.32676550091001366</c:v>
                </c:pt>
                <c:pt idx="19">
                  <c:v>0.32029511047441273</c:v>
                </c:pt>
                <c:pt idx="20">
                  <c:v>0.31395284235366</c:v>
                </c:pt>
                <c:pt idx="21">
                  <c:v>0.30467413360696821</c:v>
                </c:pt>
                <c:pt idx="22">
                  <c:v>0.29566965214664376</c:v>
                </c:pt>
                <c:pt idx="23">
                  <c:v>0.28693129333155148</c:v>
                </c:pt>
                <c:pt idx="24">
                  <c:v>0.27845119204890095</c:v>
                </c:pt>
                <c:pt idx="25">
                  <c:v>0.27022171563511382</c:v>
                </c:pt>
                <c:pt idx="26">
                  <c:v>0.26223545700591128</c:v>
                </c:pt>
                <c:pt idx="27">
                  <c:v>0.25448522798943846</c:v>
                </c:pt>
                <c:pt idx="28">
                  <c:v>0.24696405285642434</c:v>
                </c:pt>
                <c:pt idx="29">
                  <c:v>0.23966516204155472</c:v>
                </c:pt>
                <c:pt idx="30">
                  <c:v>0.2325819860504062</c:v>
                </c:pt>
                <c:pt idx="31">
                  <c:v>0.22346231593430321</c:v>
                </c:pt>
                <c:pt idx="32">
                  <c:v>0.21470023319819845</c:v>
                </c:pt>
                <c:pt idx="33">
                  <c:v>0.20628171664037007</c:v>
                </c:pt>
                <c:pt idx="34">
                  <c:v>0.1981932948382796</c:v>
                </c:pt>
                <c:pt idx="35">
                  <c:v>0.19042202459142168</c:v>
                </c:pt>
                <c:pt idx="36">
                  <c:v>0.18295547020944194</c:v>
                </c:pt>
                <c:pt idx="37">
                  <c:v>0.17578168361237931</c:v>
                </c:pt>
                <c:pt idx="38">
                  <c:v>0.16888918521118904</c:v>
                </c:pt>
                <c:pt idx="39">
                  <c:v>0.16226694553795112</c:v>
                </c:pt>
                <c:pt idx="40">
                  <c:v>0.15590436759636864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General</c:formatCode>
                <c:ptCount val="101"/>
                <c:pt idx="0">
                  <c:v>5.951694157529863E-312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369570</xdr:colOff>
      <xdr:row>1</xdr:row>
      <xdr:rowOff>95250</xdr:rowOff>
    </xdr:from>
    <xdr:to>
      <xdr:col>19</xdr:col>
      <xdr:colOff>445770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</cols>
  <sheetData>
    <row r="2" spans="2:5" x14ac:dyDescent="0.3">
      <c r="B2" s="1" t="s">
        <v>22</v>
      </c>
      <c r="C2" s="1"/>
      <c r="D2" s="1" t="s">
        <v>23</v>
      </c>
    </row>
    <row r="3" spans="2:5" x14ac:dyDescent="0.3">
      <c r="B3" t="s">
        <v>24</v>
      </c>
      <c r="C3" cm="1">
        <f t="array" ref="C3">_xll.TMX_FREQUENCY_ANNUALLY()</f>
        <v>12</v>
      </c>
      <c r="D3" t="s">
        <v>28</v>
      </c>
      <c r="E3" s="5" cm="1">
        <f t="array" ref="E3">_xll.TMX_DAY_COUNT_30_360()</f>
        <v>140716946699303</v>
      </c>
    </row>
    <row r="4" spans="2:5" x14ac:dyDescent="0.3">
      <c r="B4" t="s">
        <v>25</v>
      </c>
      <c r="C4" cm="1">
        <f t="array" ref="C4">_xll.TMX_FREQUENCY_SEMIANNUALLY()</f>
        <v>6</v>
      </c>
      <c r="D4" t="s">
        <v>29</v>
      </c>
      <c r="E4" s="5" cm="1">
        <f t="array" ref="E4">_xll.TMX_DAY_COUNT_ACTUAL_360()</f>
        <v>140716946692093</v>
      </c>
    </row>
    <row r="5" spans="2:5" x14ac:dyDescent="0.3">
      <c r="B5" t="s">
        <v>26</v>
      </c>
      <c r="C5" cm="1">
        <f t="array" ref="C5">_xll.TMX_FREQUENCY_QUARTERLY()</f>
        <v>3</v>
      </c>
      <c r="D5" t="s">
        <v>30</v>
      </c>
      <c r="E5" s="5" cm="1">
        <f t="array" ref="E5">_xll.TMX_DAY_COUNT_ACTUAL_365()</f>
        <v>140716946697698</v>
      </c>
    </row>
    <row r="6" spans="2:5" x14ac:dyDescent="0.3">
      <c r="B6" t="s">
        <v>27</v>
      </c>
      <c r="C6" cm="1">
        <f t="array" ref="C6">_xll.TMX_FREQUENCY_MONTHLY()</f>
        <v>1</v>
      </c>
      <c r="D6" t="s">
        <v>31</v>
      </c>
      <c r="E6" s="5" cm="1">
        <f t="array" ref="E6">_xll.TMX_DAY_COUNT_ACTUAL_ACTUAL()</f>
        <v>140716946702828</v>
      </c>
    </row>
    <row r="7" spans="2:5" x14ac:dyDescent="0.3">
      <c r="D7" t="s">
        <v>32</v>
      </c>
      <c r="E7" s="5" cm="1">
        <f t="array" ref="E7">_xll.TMX_DAY_COUNT_YEARS()</f>
        <v>140716946733953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/>
  </sheetViews>
  <sheetFormatPr defaultRowHeight="18.75" x14ac:dyDescent="0.3"/>
  <cols>
    <col min="1" max="1" width="3.69921875" customWidth="1"/>
    <col min="5" max="5" width="12.296875" bestFit="1" customWidth="1"/>
  </cols>
  <sheetData>
    <row r="2" spans="2:5" x14ac:dyDescent="0.3">
      <c r="B2" s="3" t="s">
        <v>42</v>
      </c>
      <c r="C2" s="9">
        <f ca="1">50 + 100*RAND()</f>
        <v>143.54256009219088</v>
      </c>
    </row>
    <row r="3" spans="2:5" x14ac:dyDescent="0.3">
      <c r="B3" s="3" t="s">
        <v>43</v>
      </c>
      <c r="C3" s="9">
        <f ca="1">0.01 + 0.3*RAND()</f>
        <v>0.14724310424841439</v>
      </c>
    </row>
    <row r="4" spans="2:5" x14ac:dyDescent="0.3">
      <c r="B4" s="3" t="s">
        <v>44</v>
      </c>
      <c r="C4" s="9">
        <f ca="1">50 + 100*RAND()</f>
        <v>103.83770923644002</v>
      </c>
    </row>
    <row r="5" spans="2:5" x14ac:dyDescent="0.3">
      <c r="B5" s="10" t="s">
        <v>45</v>
      </c>
      <c r="C5" cm="1">
        <f t="array" aca="1" ref="C5" ca="1">_xll.TMX.BLACK.MONEYNESS(f, s, k)</f>
        <v>-2.1254789537184884</v>
      </c>
      <c r="D5">
        <v>1E-3</v>
      </c>
      <c r="E5">
        <f>-D5</f>
        <v>-1E-3</v>
      </c>
    </row>
    <row r="6" spans="2:5" ht="18" customHeight="1" x14ac:dyDescent="0.3">
      <c r="B6" s="10" t="s">
        <v>19</v>
      </c>
      <c r="C6" cm="1">
        <f t="array" aca="1" ref="C6" ca="1">_xll.TMX.BLACK.PUT.VALUE(f, s, k)</f>
        <v>8.7883691274255105E-2</v>
      </c>
      <c r="D6" cm="1">
        <f t="array" aca="1" ref="D6" ca="1">_xll.TMX.BLACK.PUT.VALUE(f + D5, s, k)</f>
        <v>8.787217052021834E-2</v>
      </c>
      <c r="E6" cm="1">
        <f t="array" aca="1" ref="E6" ca="1">_xll.TMX.BLACK.PUT.VALUE(f + E5, s, k)</f>
        <v>8.7895213454794785E-2</v>
      </c>
    </row>
    <row r="7" spans="2:5" x14ac:dyDescent="0.3">
      <c r="B7" s="10" t="s">
        <v>46</v>
      </c>
      <c r="C7" cm="1">
        <f t="array" aca="1" ref="C7" ca="1">_xll.TMX.BLACK.PUT.DELTA(f, s, k)</f>
        <v>-1.1521467267824437E-2</v>
      </c>
      <c r="D7">
        <f ca="1">(D6-E6)/(D5-E5)</f>
        <v>-1.1521467288222453E-2</v>
      </c>
      <c r="E7">
        <f ca="1">(C7-D7)/C7</f>
        <v>-1.7704356689100097E-9</v>
      </c>
    </row>
    <row r="8" spans="2:5" x14ac:dyDescent="0.3">
      <c r="B8" s="10" t="s">
        <v>47</v>
      </c>
      <c r="C8" cm="1">
        <f t="array" aca="1" ref="C8" ca="1">_xll.TMX.BLACK.GAMMA(f, s, k)</f>
        <v>1.4264982714608458E-3</v>
      </c>
      <c r="D8">
        <f ca="1">(D6-2*C6+E6)/(D5^2)</f>
        <v>1.4265029157911613E-3</v>
      </c>
      <c r="E8">
        <f t="shared" ref="E8:E9" ca="1" si="0">(C8-D8)/C8</f>
        <v>-3.2557560064581962E-6</v>
      </c>
    </row>
    <row r="9" spans="2:5" x14ac:dyDescent="0.3">
      <c r="B9" s="10" t="s">
        <v>48</v>
      </c>
      <c r="C9" cm="1">
        <f t="array" aca="1" ref="C9" ca="1">_xll.TMX.BLACK.VEGA(f, s, k)</f>
        <v>4.3278040590029576</v>
      </c>
      <c r="D9" cm="1">
        <f t="array" aca="1" ref="D9" ca="1">(_xll.TMX.BLACK.PUT.VALUE(f, s + D5, k) - _xll.TMX.BLACK.PUT.VALUE(f, s + E5, k))/(D5 - E5)</f>
        <v>4.3280975397321786</v>
      </c>
      <c r="E9">
        <f t="shared" ca="1" si="0"/>
        <v>-6.7812850401685303E-5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10" sqref="C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45102</v>
      </c>
    </row>
    <row r="3" spans="2:4" x14ac:dyDescent="0.3">
      <c r="B3" s="3" t="s">
        <v>9</v>
      </c>
      <c r="C3" s="9">
        <f ca="1">10*RAND()</f>
        <v>5.2546234533343394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47021.211805555555</v>
      </c>
      <c r="D4">
        <f ca="1">C4</f>
        <v>47021.211805555555</v>
      </c>
    </row>
    <row r="5" spans="2:4" ht="20.25" thickTop="1" thickBot="1" x14ac:dyDescent="0.35">
      <c r="B5" s="3"/>
      <c r="C5" s="2" cm="1">
        <f t="array" aca="1" ref="C5" ca="1">_xll.TMX.DATE.ADD_YEARS(C4,-years)</f>
        <v>45102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5.2540435464109461</v>
      </c>
    </row>
    <row r="7" spans="2:4" ht="19.5" thickBot="1" x14ac:dyDescent="0.35">
      <c r="B7" s="3"/>
      <c r="C7" s="2" cm="1">
        <f t="array" aca="1" ref="C7" ca="1">_xll.TMX.DATE.ADD_YEARS(date,C6)</f>
        <v>47021</v>
      </c>
      <c r="D7">
        <f ca="1">C7</f>
        <v>47021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45532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N43"/>
  <sheetViews>
    <sheetView zoomScale="110" zoomScaleNormal="110" workbookViewId="0">
      <selection activeCell="K2" sqref="K2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4" x14ac:dyDescent="0.3">
      <c r="B2" s="1" t="s">
        <v>16</v>
      </c>
      <c r="C2" s="1" t="s">
        <v>17</v>
      </c>
      <c r="H2" s="3" t="s">
        <v>7</v>
      </c>
      <c r="I2" s="5" cm="1">
        <f t="array" aca="1" ref="I2" ca="1">_xll.\TMX.PWFLAT.CURVE(time, rate, extrapolate)</f>
        <v>1204148810288</v>
      </c>
      <c r="K2" s="1" t="s">
        <v>16</v>
      </c>
      <c r="L2" s="1" t="s">
        <v>35</v>
      </c>
      <c r="M2" s="1" t="s">
        <v>20</v>
      </c>
      <c r="N2" s="1" t="s">
        <v>21</v>
      </c>
    </row>
    <row r="3" spans="2:14" x14ac:dyDescent="0.3">
      <c r="B3" s="9">
        <v>1</v>
      </c>
      <c r="C3" s="15">
        <f ca="1">RAND()</f>
        <v>0.95851248793963784</v>
      </c>
      <c r="E3" cm="1">
        <f t="array" aca="1" ref="E3:F6" ca="1">TRANSPOSE(_xll.TMX.PWFLAT.CURVE(curve))</f>
        <v>1</v>
      </c>
      <c r="F3" s="16">
        <f ca="1"/>
        <v>0.95851248793963784</v>
      </c>
      <c r="G3" s="16"/>
      <c r="H3" s="3"/>
      <c r="K3" cm="1">
        <f t="array" ref="K3:K43">_xlfn.SEQUENCE(1+4/0.1,1,0,0.1)</f>
        <v>0</v>
      </c>
      <c r="L3" cm="1">
        <f t="array" aca="1" ref="L3" ca="1">_xll.TMX.PWFLAT.CURVE.FORWARD(curve,K3)</f>
        <v>0.95851248793963784</v>
      </c>
      <c r="M3" cm="1">
        <f t="array" aca="1" ref="M3" ca="1">_xll.TMX.PWFLAT.CURVE.SPOT(curve,K3)</f>
        <v>0.95851248793963784</v>
      </c>
      <c r="N3" cm="1">
        <f t="array" aca="1" ref="N3" ca="1">_xll.TMX.PWFLAT.CURVE.DISCOUNT(curve,K3)</f>
        <v>1</v>
      </c>
    </row>
    <row r="4" spans="2:14" x14ac:dyDescent="0.3">
      <c r="B4" s="9">
        <v>2</v>
      </c>
      <c r="C4" s="9">
        <v>0.2</v>
      </c>
      <c r="E4">
        <f ca="1"/>
        <v>2</v>
      </c>
      <c r="F4">
        <f ca="1"/>
        <v>0.2</v>
      </c>
      <c r="I4" s="5"/>
      <c r="K4">
        <v>0.1</v>
      </c>
      <c r="L4" cm="1">
        <f t="array" aca="1" ref="L4" ca="1">_xll.TMX.PWFLAT.CURVE.FORWARD(curve,K4)</f>
        <v>0.95851248793963784</v>
      </c>
      <c r="M4" cm="1">
        <f t="array" aca="1" ref="M4" ca="1">_xll.TMX.PWFLAT.CURVE.SPOT(curve,K4)</f>
        <v>0.95851248793963784</v>
      </c>
      <c r="N4" cm="1">
        <f t="array" aca="1" ref="N4" ca="1">_xll.TMX.PWFLAT.CURVE.DISCOUNT(curve,K4)</f>
        <v>0.90859916123799112</v>
      </c>
    </row>
    <row r="5" spans="2:14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/>
      <c r="K5">
        <v>0.2</v>
      </c>
      <c r="L5" cm="1">
        <f t="array" aca="1" ref="L5" ca="1">_xll.TMX.PWFLAT.CURVE.FORWARD(curve,K5)</f>
        <v>0.95851248793963784</v>
      </c>
      <c r="M5" cm="1">
        <f t="array" aca="1" ref="M5" ca="1">_xll.TMX.PWFLAT.CURVE.SPOT(curve,K5)</f>
        <v>0.95851248793963784</v>
      </c>
      <c r="N5" cm="1">
        <f t="array" aca="1" ref="N5" ca="1">_xll.TMX.PWFLAT.CURVE.DISCOUNT(curve,K5)</f>
        <v>0.82555243580238102</v>
      </c>
    </row>
    <row r="6" spans="2:14" x14ac:dyDescent="0.3">
      <c r="B6" s="3" t="s">
        <v>18</v>
      </c>
      <c r="C6" s="9">
        <v>0.4</v>
      </c>
      <c r="E6">
        <f ca="1"/>
        <v>3</v>
      </c>
      <c r="F6">
        <f ca="1"/>
        <v>0.4</v>
      </c>
      <c r="H6" s="3"/>
      <c r="I6" s="5"/>
      <c r="K6">
        <v>0.30000000000000004</v>
      </c>
      <c r="L6" cm="1">
        <f t="array" aca="1" ref="L6" ca="1">_xll.TMX.PWFLAT.CURVE.FORWARD(curve,K6)</f>
        <v>0.95851248793963784</v>
      </c>
      <c r="M6" cm="1">
        <f t="array" aca="1" ref="M6" ca="1">_xll.TMX.PWFLAT.CURVE.SPOT(curve,K6)</f>
        <v>0.95851248793963784</v>
      </c>
      <c r="N6" cm="1">
        <f t="array" aca="1" ref="N6" ca="1">_xll.TMX.PWFLAT.CURVE.DISCOUNT(curve,K6)</f>
        <v>0.75009625072802388</v>
      </c>
    </row>
    <row r="7" spans="2:14" x14ac:dyDescent="0.3">
      <c r="K7">
        <v>0.4</v>
      </c>
      <c r="L7" cm="1">
        <f t="array" aca="1" ref="L7" ca="1">_xll.TMX.PWFLAT.CURVE.FORWARD(curve,K7)</f>
        <v>0.95851248793963784</v>
      </c>
      <c r="M7" cm="1">
        <f t="array" aca="1" ref="M7" ca="1">_xll.TMX.PWFLAT.CURVE.SPOT(curve,K7)</f>
        <v>0.95851248793963784</v>
      </c>
      <c r="N7" cm="1">
        <f t="array" aca="1" ref="N7" ca="1">_xll.TMX.PWFLAT.CURVE.DISCOUNT(curve,K7)</f>
        <v>0.68153682425924444</v>
      </c>
    </row>
    <row r="8" spans="2:14" x14ac:dyDescent="0.3">
      <c r="K8">
        <v>0.5</v>
      </c>
      <c r="L8" cm="1">
        <f t="array" aca="1" ref="L8" ca="1">_xll.TMX.PWFLAT.CURVE.FORWARD(curve,K8)</f>
        <v>0.95851248793963784</v>
      </c>
      <c r="M8" cm="1">
        <f t="array" aca="1" ref="M8" ca="1">_xll.TMX.PWFLAT.CURVE.SPOT(curve,K8)</f>
        <v>0.95851248793963784</v>
      </c>
      <c r="N8" cm="1">
        <f t="array" aca="1" ref="N8" ca="1">_xll.TMX.PWFLAT.CURVE.DISCOUNT(curve,K8)</f>
        <v>0.61924378687475368</v>
      </c>
    </row>
    <row r="9" spans="2:14" x14ac:dyDescent="0.3">
      <c r="K9">
        <v>0.6</v>
      </c>
      <c r="L9" cm="1">
        <f t="array" aca="1" ref="L9" ca="1">_xll.TMX.PWFLAT.CURVE.FORWARD(curve,K9)</f>
        <v>0.95851248793963784</v>
      </c>
      <c r="M9" cm="1">
        <f t="array" aca="1" ref="M9" ca="1">_xll.TMX.PWFLAT.CURVE.SPOT(curve,K9)</f>
        <v>0.95851248793963784</v>
      </c>
      <c r="N9" cm="1">
        <f t="array" aca="1" ref="N9" ca="1">_xll.TMX.PWFLAT.CURVE.DISCOUNT(curve,K9)</f>
        <v>0.56264438535623851</v>
      </c>
    </row>
    <row r="10" spans="2:14" x14ac:dyDescent="0.3">
      <c r="K10">
        <v>0.7</v>
      </c>
      <c r="L10" cm="1">
        <f t="array" aca="1" ref="L10" ca="1">_xll.TMX.PWFLAT.CURVE.FORWARD(curve,K10)</f>
        <v>0.95851248793963784</v>
      </c>
      <c r="M10" cm="1">
        <f t="array" aca="1" ref="M10" ca="1">_xll.TMX.PWFLAT.CURVE.SPOT(curve,K10)</f>
        <v>0.95851248793963784</v>
      </c>
      <c r="N10" cm="1">
        <f t="array" aca="1" ref="N10" ca="1">_xll.TMX.PWFLAT.CURVE.DISCOUNT(curve,K10)</f>
        <v>0.51121821660994338</v>
      </c>
    </row>
    <row r="11" spans="2:14" x14ac:dyDescent="0.3">
      <c r="K11">
        <v>0.79999999999999993</v>
      </c>
      <c r="L11" cm="1">
        <f t="array" aca="1" ref="L11" ca="1">_xll.TMX.PWFLAT.CURVE.FORWARD(curve,K11)</f>
        <v>0.95851248793963784</v>
      </c>
      <c r="M11" cm="1">
        <f t="array" aca="1" ref="M11" ca="1">_xll.TMX.PWFLAT.CURVE.SPOT(curve,K11)</f>
        <v>0.95851248793963784</v>
      </c>
      <c r="N11" cm="1">
        <f t="array" aca="1" ref="N11" ca="1">_xll.TMX.PWFLAT.CURVE.DISCOUNT(curve,K11)</f>
        <v>0.46449244282137631</v>
      </c>
    </row>
    <row r="12" spans="2:14" x14ac:dyDescent="0.3">
      <c r="K12">
        <v>0.89999999999999991</v>
      </c>
      <c r="L12" cm="1">
        <f t="array" aca="1" ref="L12" ca="1">_xll.TMX.PWFLAT.CURVE.FORWARD(curve,K12)</f>
        <v>0.95851248793963784</v>
      </c>
      <c r="M12" cm="1">
        <f t="array" aca="1" ref="M12" ca="1">_xll.TMX.PWFLAT.CURVE.SPOT(curve,K12)</f>
        <v>0.95851248793963784</v>
      </c>
      <c r="N12" cm="1">
        <f t="array" aca="1" ref="N12" ca="1">_xll.TMX.PWFLAT.CURVE.DISCOUNT(curve,K12)</f>
        <v>0.42203744394888804</v>
      </c>
    </row>
    <row r="13" spans="2:14" x14ac:dyDescent="0.3">
      <c r="K13">
        <v>0.99999999999999989</v>
      </c>
      <c r="L13" cm="1">
        <f t="array" aca="1" ref="L13" ca="1">_xll.TMX.PWFLAT.CURVE.FORWARD(curve,K13)</f>
        <v>0.95851248793963784</v>
      </c>
      <c r="M13" cm="1">
        <f t="array" aca="1" ref="M13" ca="1">_xll.TMX.PWFLAT.CURVE.SPOT(curve,K13)</f>
        <v>0.95851248793963784</v>
      </c>
      <c r="N13" cm="1">
        <f t="array" aca="1" ref="N13" ca="1">_xll.TMX.PWFLAT.CURVE.DISCOUNT(curve,K13)</f>
        <v>0.38346286758298537</v>
      </c>
    </row>
    <row r="14" spans="2:14" x14ac:dyDescent="0.3">
      <c r="K14">
        <v>1.0999999999999999</v>
      </c>
      <c r="L14" cm="1">
        <f t="array" aca="1" ref="L14" ca="1">_xll.TMX.PWFLAT.CURVE.FORWARD(curve,K14)</f>
        <v>0.2</v>
      </c>
      <c r="M14" cm="1">
        <f t="array" aca="1" ref="M14" ca="1">_xll.TMX.PWFLAT.CURVE.SPOT(curve,K14)</f>
        <v>0.2</v>
      </c>
      <c r="N14" cm="1">
        <f t="array" aca="1" ref="N14" ca="1">_xll.TMX.PWFLAT.CURVE.DISCOUNT(curve,K14)</f>
        <v>0.37586979406724619</v>
      </c>
    </row>
    <row r="15" spans="2:14" x14ac:dyDescent="0.3">
      <c r="K15">
        <v>1.2</v>
      </c>
      <c r="L15" cm="1">
        <f t="array" aca="1" ref="L15" ca="1">_xll.TMX.PWFLAT.CURVE.FORWARD(curve,K15)</f>
        <v>0.2</v>
      </c>
      <c r="M15" cm="1">
        <f t="array" aca="1" ref="M15" ca="1">_xll.TMX.PWFLAT.CURVE.SPOT(curve,K15)</f>
        <v>0.2</v>
      </c>
      <c r="N15" cm="1">
        <f t="array" aca="1" ref="N15" ca="1">_xll.TMX.PWFLAT.CURVE.DISCOUNT(curve,K15)</f>
        <v>0.36842707348079806</v>
      </c>
    </row>
    <row r="16" spans="2:14" x14ac:dyDescent="0.3">
      <c r="K16">
        <v>1.3</v>
      </c>
      <c r="L16" cm="1">
        <f t="array" aca="1" ref="L16" ca="1">_xll.TMX.PWFLAT.CURVE.FORWARD(curve,K16)</f>
        <v>0.2</v>
      </c>
      <c r="M16" cm="1">
        <f t="array" aca="1" ref="M16" ca="1">_xll.TMX.PWFLAT.CURVE.SPOT(curve,K16)</f>
        <v>0.2</v>
      </c>
      <c r="N16" cm="1">
        <f t="array" aca="1" ref="N16" ca="1">_xll.TMX.PWFLAT.CURVE.DISCOUNT(curve,K16)</f>
        <v>0.36113172863616871</v>
      </c>
    </row>
    <row r="17" spans="11:14" x14ac:dyDescent="0.3">
      <c r="K17">
        <v>1.4000000000000001</v>
      </c>
      <c r="L17" cm="1">
        <f t="array" aca="1" ref="L17" ca="1">_xll.TMX.PWFLAT.CURVE.FORWARD(curve,K17)</f>
        <v>0.2</v>
      </c>
      <c r="M17" cm="1">
        <f t="array" aca="1" ref="M17" ca="1">_xll.TMX.PWFLAT.CURVE.SPOT(curve,K17)</f>
        <v>0.2</v>
      </c>
      <c r="N17" cm="1">
        <f t="array" aca="1" ref="N17" ca="1">_xll.TMX.PWFLAT.CURVE.DISCOUNT(curve,K17)</f>
        <v>0.35398084129814772</v>
      </c>
    </row>
    <row r="18" spans="11:14" x14ac:dyDescent="0.3">
      <c r="K18">
        <v>1.5000000000000002</v>
      </c>
      <c r="L18" cm="1">
        <f t="array" aca="1" ref="L18" ca="1">_xll.TMX.PWFLAT.CURVE.FORWARD(curve,K18)</f>
        <v>0.2</v>
      </c>
      <c r="M18" cm="1">
        <f t="array" aca="1" ref="M18" ca="1">_xll.TMX.PWFLAT.CURVE.SPOT(curve,K18)</f>
        <v>0.2</v>
      </c>
      <c r="N18" cm="1">
        <f t="array" aca="1" ref="N18" ca="1">_xll.TMX.PWFLAT.CURVE.DISCOUNT(curve,K18)</f>
        <v>0.34697155101645349</v>
      </c>
    </row>
    <row r="19" spans="11:14" x14ac:dyDescent="0.3">
      <c r="K19">
        <v>1.6000000000000003</v>
      </c>
      <c r="L19" cm="1">
        <f t="array" aca="1" ref="L19" ca="1">_xll.TMX.PWFLAT.CURVE.FORWARD(curve,K19)</f>
        <v>0.2</v>
      </c>
      <c r="M19" cm="1">
        <f t="array" aca="1" ref="M19" ca="1">_xll.TMX.PWFLAT.CURVE.SPOT(curve,K19)</f>
        <v>0.2</v>
      </c>
      <c r="N19" cm="1">
        <f t="array" aca="1" ref="N19" ca="1">_xll.TMX.PWFLAT.CURVE.DISCOUNT(curve,K19)</f>
        <v>0.34010105398151486</v>
      </c>
    </row>
    <row r="20" spans="11:14" x14ac:dyDescent="0.3">
      <c r="K20">
        <v>1.7000000000000004</v>
      </c>
      <c r="L20" cm="1">
        <f t="array" aca="1" ref="L20" ca="1">_xll.TMX.PWFLAT.CURVE.FORWARD(curve,K20)</f>
        <v>0.2</v>
      </c>
      <c r="M20" cm="1">
        <f t="array" aca="1" ref="M20" ca="1">_xll.TMX.PWFLAT.CURVE.SPOT(curve,K20)</f>
        <v>0.2</v>
      </c>
      <c r="N20" cm="1">
        <f t="array" aca="1" ref="N20" ca="1">_xll.TMX.PWFLAT.CURVE.DISCOUNT(curve,K20)</f>
        <v>0.33336660190291001</v>
      </c>
    </row>
    <row r="21" spans="11:14" x14ac:dyDescent="0.3">
      <c r="K21">
        <v>1.8000000000000005</v>
      </c>
      <c r="L21" cm="1">
        <f t="array" aca="1" ref="L21" ca="1">_xll.TMX.PWFLAT.CURVE.FORWARD(curve,K21)</f>
        <v>0.2</v>
      </c>
      <c r="M21" cm="1">
        <f t="array" aca="1" ref="M21" ca="1">_xll.TMX.PWFLAT.CURVE.SPOT(curve,K21)</f>
        <v>0.2</v>
      </c>
      <c r="N21" cm="1">
        <f t="array" aca="1" ref="N21" ca="1">_xll.TMX.PWFLAT.CURVE.DISCOUNT(curve,K21)</f>
        <v>0.32676550091001366</v>
      </c>
    </row>
    <row r="22" spans="11:14" x14ac:dyDescent="0.3">
      <c r="K22">
        <v>1.9000000000000006</v>
      </c>
      <c r="L22" cm="1">
        <f t="array" aca="1" ref="L22" ca="1">_xll.TMX.PWFLAT.CURVE.FORWARD(curve,K22)</f>
        <v>0.2</v>
      </c>
      <c r="M22" cm="1">
        <f t="array" aca="1" ref="M22" ca="1">_xll.TMX.PWFLAT.CURVE.SPOT(curve,K22)</f>
        <v>0.2</v>
      </c>
      <c r="N22" cm="1">
        <f t="array" aca="1" ref="N22" ca="1">_xll.TMX.PWFLAT.CURVE.DISCOUNT(curve,K22)</f>
        <v>0.32029511047441273</v>
      </c>
    </row>
    <row r="23" spans="11:14" x14ac:dyDescent="0.3">
      <c r="K23">
        <v>2.0000000000000004</v>
      </c>
      <c r="L23" cm="1">
        <f t="array" aca="1" ref="L23" ca="1">_xll.TMX.PWFLAT.CURVE.FORWARD(curve,K23)</f>
        <v>0.3</v>
      </c>
      <c r="M23" cm="1">
        <f t="array" aca="1" ref="M23" ca="1">_xll.TMX.PWFLAT.CURVE.SPOT(curve,K23)</f>
        <v>0.3</v>
      </c>
      <c r="N23" cm="1">
        <f t="array" aca="1" ref="N23" ca="1">_xll.TMX.PWFLAT.CURVE.DISCOUNT(curve,K23)</f>
        <v>0.31395284235366</v>
      </c>
    </row>
    <row r="24" spans="11:14" x14ac:dyDescent="0.3">
      <c r="K24">
        <v>2.1000000000000005</v>
      </c>
      <c r="L24" cm="1">
        <f t="array" aca="1" ref="L24" ca="1">_xll.TMX.PWFLAT.CURVE.FORWARD(curve,K24)</f>
        <v>0.3</v>
      </c>
      <c r="M24" cm="1">
        <f t="array" aca="1" ref="M24" ca="1">_xll.TMX.PWFLAT.CURVE.SPOT(curve,K24)</f>
        <v>0.3</v>
      </c>
      <c r="N24" cm="1">
        <f t="array" aca="1" ref="N24" ca="1">_xll.TMX.PWFLAT.CURVE.DISCOUNT(curve,K24)</f>
        <v>0.30467413360696821</v>
      </c>
    </row>
    <row r="25" spans="11:14" x14ac:dyDescent="0.3">
      <c r="K25">
        <v>2.2000000000000006</v>
      </c>
      <c r="L25" cm="1">
        <f t="array" aca="1" ref="L25" ca="1">_xll.TMX.PWFLAT.CURVE.FORWARD(curve,K25)</f>
        <v>0.3</v>
      </c>
      <c r="M25" cm="1">
        <f t="array" aca="1" ref="M25" ca="1">_xll.TMX.PWFLAT.CURVE.SPOT(curve,K25)</f>
        <v>0.3</v>
      </c>
      <c r="N25" cm="1">
        <f t="array" aca="1" ref="N25" ca="1">_xll.TMX.PWFLAT.CURVE.DISCOUNT(curve,K25)</f>
        <v>0.29566965214664376</v>
      </c>
    </row>
    <row r="26" spans="11:14" x14ac:dyDescent="0.3">
      <c r="K26">
        <v>2.3000000000000007</v>
      </c>
      <c r="L26" cm="1">
        <f t="array" aca="1" ref="L26" ca="1">_xll.TMX.PWFLAT.CURVE.FORWARD(curve,K26)</f>
        <v>0.3</v>
      </c>
      <c r="M26" cm="1">
        <f t="array" aca="1" ref="M26" ca="1">_xll.TMX.PWFLAT.CURVE.SPOT(curve,K26)</f>
        <v>0.3</v>
      </c>
      <c r="N26" cm="1">
        <f t="array" aca="1" ref="N26" ca="1">_xll.TMX.PWFLAT.CURVE.DISCOUNT(curve,K26)</f>
        <v>0.28693129333155148</v>
      </c>
    </row>
    <row r="27" spans="11:14" x14ac:dyDescent="0.3">
      <c r="K27">
        <v>2.4000000000000008</v>
      </c>
      <c r="L27" cm="1">
        <f t="array" aca="1" ref="L27" ca="1">_xll.TMX.PWFLAT.CURVE.FORWARD(curve,K27)</f>
        <v>0.3</v>
      </c>
      <c r="M27" cm="1">
        <f t="array" aca="1" ref="M27" ca="1">_xll.TMX.PWFLAT.CURVE.SPOT(curve,K27)</f>
        <v>0.3</v>
      </c>
      <c r="N27" cm="1">
        <f t="array" aca="1" ref="N27" ca="1">_xll.TMX.PWFLAT.CURVE.DISCOUNT(curve,K27)</f>
        <v>0.27845119204890095</v>
      </c>
    </row>
    <row r="28" spans="11:14" x14ac:dyDescent="0.3">
      <c r="K28">
        <v>2.5000000000000009</v>
      </c>
      <c r="L28" cm="1">
        <f t="array" aca="1" ref="L28" ca="1">_xll.TMX.PWFLAT.CURVE.FORWARD(curve,K28)</f>
        <v>0.3</v>
      </c>
      <c r="M28" cm="1">
        <f t="array" aca="1" ref="M28" ca="1">_xll.TMX.PWFLAT.CURVE.SPOT(curve,K28)</f>
        <v>0.3</v>
      </c>
      <c r="N28" cm="1">
        <f t="array" aca="1" ref="N28" ca="1">_xll.TMX.PWFLAT.CURVE.DISCOUNT(curve,K28)</f>
        <v>0.27022171563511382</v>
      </c>
    </row>
    <row r="29" spans="11:14" x14ac:dyDescent="0.3">
      <c r="K29">
        <v>2.600000000000001</v>
      </c>
      <c r="L29" cm="1">
        <f t="array" aca="1" ref="L29" ca="1">_xll.TMX.PWFLAT.CURVE.FORWARD(curve,K29)</f>
        <v>0.3</v>
      </c>
      <c r="M29" cm="1">
        <f t="array" aca="1" ref="M29" ca="1">_xll.TMX.PWFLAT.CURVE.SPOT(curve,K29)</f>
        <v>0.3</v>
      </c>
      <c r="N29" cm="1">
        <f t="array" aca="1" ref="N29" ca="1">_xll.TMX.PWFLAT.CURVE.DISCOUNT(curve,K29)</f>
        <v>0.26223545700591128</v>
      </c>
    </row>
    <row r="30" spans="11:14" x14ac:dyDescent="0.3">
      <c r="K30">
        <v>2.7000000000000011</v>
      </c>
      <c r="L30" cm="1">
        <f t="array" aca="1" ref="L30" ca="1">_xll.TMX.PWFLAT.CURVE.FORWARD(curve,K30)</f>
        <v>0.3</v>
      </c>
      <c r="M30" cm="1">
        <f t="array" aca="1" ref="M30" ca="1">_xll.TMX.PWFLAT.CURVE.SPOT(curve,K30)</f>
        <v>0.3</v>
      </c>
      <c r="N30" cm="1">
        <f t="array" aca="1" ref="N30" ca="1">_xll.TMX.PWFLAT.CURVE.DISCOUNT(curve,K30)</f>
        <v>0.25448522798943846</v>
      </c>
    </row>
    <row r="31" spans="11:14" x14ac:dyDescent="0.3">
      <c r="K31">
        <v>2.8000000000000012</v>
      </c>
      <c r="L31" cm="1">
        <f t="array" aca="1" ref="L31" ca="1">_xll.TMX.PWFLAT.CURVE.FORWARD(curve,K31)</f>
        <v>0.3</v>
      </c>
      <c r="M31" cm="1">
        <f t="array" aca="1" ref="M31" ca="1">_xll.TMX.PWFLAT.CURVE.SPOT(curve,K31)</f>
        <v>0.3</v>
      </c>
      <c r="N31" cm="1">
        <f t="array" aca="1" ref="N31" ca="1">_xll.TMX.PWFLAT.CURVE.DISCOUNT(curve,K31)</f>
        <v>0.24696405285642434</v>
      </c>
    </row>
    <row r="32" spans="11:14" x14ac:dyDescent="0.3">
      <c r="K32">
        <v>2.9000000000000012</v>
      </c>
      <c r="L32" cm="1">
        <f t="array" aca="1" ref="L32" ca="1">_xll.TMX.PWFLAT.CURVE.FORWARD(curve,K32)</f>
        <v>0.3</v>
      </c>
      <c r="M32" cm="1">
        <f t="array" aca="1" ref="M32" ca="1">_xll.TMX.PWFLAT.CURVE.SPOT(curve,K32)</f>
        <v>0.3</v>
      </c>
      <c r="N32" cm="1">
        <f t="array" aca="1" ref="N32" ca="1">_xll.TMX.PWFLAT.CURVE.DISCOUNT(curve,K32)</f>
        <v>0.23966516204155472</v>
      </c>
    </row>
    <row r="33" spans="11:14" x14ac:dyDescent="0.3">
      <c r="K33">
        <v>3.0000000000000013</v>
      </c>
      <c r="L33" cm="1">
        <f t="array" aca="1" ref="L33" ca="1">_xll.TMX.PWFLAT.CURVE.FORWARD(curve,K33)</f>
        <v>0.4</v>
      </c>
      <c r="M33" cm="1">
        <f t="array" aca="1" ref="M33" ca="1">_xll.TMX.PWFLAT.CURVE.SPOT(curve,K33)</f>
        <v>0.4</v>
      </c>
      <c r="N33" cm="1">
        <f t="array" aca="1" ref="N33" ca="1">_xll.TMX.PWFLAT.CURVE.DISCOUNT(curve,K33)</f>
        <v>0.2325819860504062</v>
      </c>
    </row>
    <row r="34" spans="11:14" x14ac:dyDescent="0.3">
      <c r="K34">
        <v>3.1000000000000014</v>
      </c>
      <c r="L34" cm="1">
        <f t="array" aca="1" ref="L34" ca="1">_xll.TMX.PWFLAT.CURVE.FORWARD(curve,K34)</f>
        <v>0.4</v>
      </c>
      <c r="M34" cm="1">
        <f t="array" aca="1" ref="M34" ca="1">_xll.TMX.PWFLAT.CURVE.SPOT(curve,K34)</f>
        <v>0.4</v>
      </c>
      <c r="N34" cm="1">
        <f t="array" aca="1" ref="N34" ca="1">_xll.TMX.PWFLAT.CURVE.DISCOUNT(curve,K34)</f>
        <v>0.22346231593430321</v>
      </c>
    </row>
    <row r="35" spans="11:14" x14ac:dyDescent="0.3">
      <c r="K35">
        <v>3.2000000000000015</v>
      </c>
      <c r="L35" cm="1">
        <f t="array" aca="1" ref="L35" ca="1">_xll.TMX.PWFLAT.CURVE.FORWARD(curve,K35)</f>
        <v>0.4</v>
      </c>
      <c r="M35" cm="1">
        <f t="array" aca="1" ref="M35" ca="1">_xll.TMX.PWFLAT.CURVE.SPOT(curve,K35)</f>
        <v>0.4</v>
      </c>
      <c r="N35" cm="1">
        <f t="array" aca="1" ref="N35" ca="1">_xll.TMX.PWFLAT.CURVE.DISCOUNT(curve,K35)</f>
        <v>0.21470023319819845</v>
      </c>
    </row>
    <row r="36" spans="11:14" x14ac:dyDescent="0.3">
      <c r="K36">
        <v>3.3000000000000016</v>
      </c>
      <c r="L36" cm="1">
        <f t="array" aca="1" ref="L36" ca="1">_xll.TMX.PWFLAT.CURVE.FORWARD(curve,K36)</f>
        <v>0.4</v>
      </c>
      <c r="M36" cm="1">
        <f t="array" aca="1" ref="M36" ca="1">_xll.TMX.PWFLAT.CURVE.SPOT(curve,K36)</f>
        <v>0.4</v>
      </c>
      <c r="N36" cm="1">
        <f t="array" aca="1" ref="N36" ca="1">_xll.TMX.PWFLAT.CURVE.DISCOUNT(curve,K36)</f>
        <v>0.20628171664037007</v>
      </c>
    </row>
    <row r="37" spans="11:14" x14ac:dyDescent="0.3">
      <c r="K37">
        <v>3.4000000000000017</v>
      </c>
      <c r="L37" cm="1">
        <f t="array" aca="1" ref="L37" ca="1">_xll.TMX.PWFLAT.CURVE.FORWARD(curve,K37)</f>
        <v>0.4</v>
      </c>
      <c r="M37" cm="1">
        <f t="array" aca="1" ref="M37" ca="1">_xll.TMX.PWFLAT.CURVE.SPOT(curve,K37)</f>
        <v>0.4</v>
      </c>
      <c r="N37" cm="1">
        <f t="array" aca="1" ref="N37" ca="1">_xll.TMX.PWFLAT.CURVE.DISCOUNT(curve,K37)</f>
        <v>0.1981932948382796</v>
      </c>
    </row>
    <row r="38" spans="11:14" x14ac:dyDescent="0.3">
      <c r="K38">
        <v>3.5000000000000018</v>
      </c>
      <c r="L38" cm="1">
        <f t="array" aca="1" ref="L38" ca="1">_xll.TMX.PWFLAT.CURVE.FORWARD(curve,K38)</f>
        <v>0.4</v>
      </c>
      <c r="M38" cm="1">
        <f t="array" aca="1" ref="M38" ca="1">_xll.TMX.PWFLAT.CURVE.SPOT(curve,K38)</f>
        <v>0.4</v>
      </c>
      <c r="N38" cm="1">
        <f t="array" aca="1" ref="N38" ca="1">_xll.TMX.PWFLAT.CURVE.DISCOUNT(curve,K38)</f>
        <v>0.19042202459142168</v>
      </c>
    </row>
    <row r="39" spans="11:14" x14ac:dyDescent="0.3">
      <c r="K39">
        <v>3.6000000000000019</v>
      </c>
      <c r="L39" cm="1">
        <f t="array" aca="1" ref="L39" ca="1">_xll.TMX.PWFLAT.CURVE.FORWARD(curve,K39)</f>
        <v>0.4</v>
      </c>
      <c r="M39" cm="1">
        <f t="array" aca="1" ref="M39" ca="1">_xll.TMX.PWFLAT.CURVE.SPOT(curve,K39)</f>
        <v>0.4</v>
      </c>
      <c r="N39" cm="1">
        <f t="array" aca="1" ref="N39" ca="1">_xll.TMX.PWFLAT.CURVE.DISCOUNT(curve,K39)</f>
        <v>0.18295547020944194</v>
      </c>
    </row>
    <row r="40" spans="11:14" x14ac:dyDescent="0.3">
      <c r="K40">
        <v>3.700000000000002</v>
      </c>
      <c r="L40" cm="1">
        <f t="array" aca="1" ref="L40" ca="1">_xll.TMX.PWFLAT.CURVE.FORWARD(curve,K40)</f>
        <v>0.4</v>
      </c>
      <c r="M40" cm="1">
        <f t="array" aca="1" ref="M40" ca="1">_xll.TMX.PWFLAT.CURVE.SPOT(curve,K40)</f>
        <v>0.4</v>
      </c>
      <c r="N40" cm="1">
        <f t="array" aca="1" ref="N40" ca="1">_xll.TMX.PWFLAT.CURVE.DISCOUNT(curve,K40)</f>
        <v>0.17578168361237931</v>
      </c>
    </row>
    <row r="41" spans="11:14" x14ac:dyDescent="0.3">
      <c r="K41">
        <v>3.800000000000002</v>
      </c>
      <c r="L41" cm="1">
        <f t="array" aca="1" ref="L41" ca="1">_xll.TMX.PWFLAT.CURVE.FORWARD(curve,K41)</f>
        <v>0.4</v>
      </c>
      <c r="M41" cm="1">
        <f t="array" aca="1" ref="M41" ca="1">_xll.TMX.PWFLAT.CURVE.SPOT(curve,K41)</f>
        <v>0.4</v>
      </c>
      <c r="N41" cm="1">
        <f t="array" aca="1" ref="N41" ca="1">_xll.TMX.PWFLAT.CURVE.DISCOUNT(curve,K41)</f>
        <v>0.16888918521118904</v>
      </c>
    </row>
    <row r="42" spans="11:14" x14ac:dyDescent="0.3">
      <c r="K42">
        <v>3.9000000000000021</v>
      </c>
      <c r="L42" cm="1">
        <f t="array" aca="1" ref="L42" ca="1">_xll.TMX.PWFLAT.CURVE.FORWARD(curve,K42)</f>
        <v>0.4</v>
      </c>
      <c r="M42" cm="1">
        <f t="array" aca="1" ref="M42" ca="1">_xll.TMX.PWFLAT.CURVE.SPOT(curve,K42)</f>
        <v>0.4</v>
      </c>
      <c r="N42" cm="1">
        <f t="array" aca="1" ref="N42" ca="1">_xll.TMX.PWFLAT.CURVE.DISCOUNT(curve,K42)</f>
        <v>0.16226694553795112</v>
      </c>
    </row>
    <row r="43" spans="11:14" x14ac:dyDescent="0.3">
      <c r="K43">
        <v>4.0000000000000018</v>
      </c>
      <c r="L43" cm="1">
        <f t="array" aca="1" ref="L43" ca="1">_xll.TMX.PWFLAT.CURVE.FORWARD(curve,K43)</f>
        <v>0.4</v>
      </c>
      <c r="M43" cm="1">
        <f t="array" aca="1" ref="M43" ca="1">_xll.TMX.PWFLAT.CURVE.SPOT(curve,K43)</f>
        <v>0.4</v>
      </c>
      <c r="N43" cm="1">
        <f t="array" aca="1" ref="N43" ca="1">_xll.TMX.PWFLAT.CURVE.DISCOUNT(curve,K43)</f>
        <v>0.15590436759636864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G552"/>
  <sheetViews>
    <sheetView zoomScale="110" zoomScaleNormal="110" workbookViewId="0">
      <selection activeCell="C6" sqref="C6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1.19921875" bestFit="1" customWidth="1"/>
    <col min="5" max="5" width="11.59765625" bestFit="1" customWidth="1"/>
    <col min="6" max="6" width="11.19921875" bestFit="1" customWidth="1"/>
    <col min="7" max="7" width="9.69921875" bestFit="1" customWidth="1"/>
  </cols>
  <sheetData>
    <row r="1" spans="2:7" ht="19.5" thickBot="1" x14ac:dyDescent="0.35"/>
    <row r="2" spans="2:7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1204222248384</v>
      </c>
      <c r="F2" cm="1">
        <f t="array" ref="F2:F5">_xll.TMX.BOND.SIMPLE(E2)</f>
        <v>4</v>
      </c>
      <c r="G2" s="17" t="b">
        <f>F2=D2</f>
        <v>1</v>
      </c>
    </row>
    <row r="3" spans="2:7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 t="b">
        <f t="shared" ref="G3:G5" si="0">F3=D3</f>
        <v>1</v>
      </c>
    </row>
    <row r="4" spans="2:7" ht="20.25" thickTop="1" thickBot="1" x14ac:dyDescent="0.35">
      <c r="B4" s="3" t="s">
        <v>22</v>
      </c>
      <c r="C4" s="14" t="s">
        <v>24</v>
      </c>
      <c r="D4">
        <v>12</v>
      </c>
      <c r="F4">
        <v>12</v>
      </c>
      <c r="G4" s="17" t="b">
        <f t="shared" si="0"/>
        <v>1</v>
      </c>
    </row>
    <row r="5" spans="2:7" ht="20.25" thickTop="1" thickBot="1" x14ac:dyDescent="0.35">
      <c r="B5" s="3" t="s">
        <v>23</v>
      </c>
      <c r="C5" s="14" t="s">
        <v>28</v>
      </c>
      <c r="D5" s="5">
        <v>140716946699303</v>
      </c>
      <c r="F5" s="5">
        <v>140716946699303</v>
      </c>
      <c r="G5" s="17" t="b">
        <f t="shared" si="0"/>
        <v>1</v>
      </c>
    </row>
    <row r="6" spans="2:7" ht="19.5" thickTop="1" x14ac:dyDescent="0.3">
      <c r="B6" s="10" t="s">
        <v>33</v>
      </c>
      <c r="C6" s="5" cm="1">
        <f t="array" ref="C6">_xll.\TMX.BOND.SIMPLE(maturity, coupon, _xll.ENUM(frequency), _xll.ENUM(day_count))</f>
        <v>1204222233696</v>
      </c>
    </row>
    <row r="7" spans="2:7" x14ac:dyDescent="0.3">
      <c r="B7" s="3" t="s">
        <v>4</v>
      </c>
      <c r="C7" s="2">
        <f ca="1">TODAY()</f>
        <v>45102</v>
      </c>
    </row>
    <row r="8" spans="2:7" x14ac:dyDescent="0.3">
      <c r="B8" s="10" t="s">
        <v>37</v>
      </c>
      <c r="C8" s="5" cm="1">
        <f t="array" aca="1" ref="C8" ca="1">_xll.\TMX.BOND.INSTRUMENT(bond.simple, dated)</f>
        <v>1204148803248</v>
      </c>
    </row>
    <row r="9" spans="2:7" x14ac:dyDescent="0.3">
      <c r="B9" s="10" t="s">
        <v>38</v>
      </c>
      <c r="C9" s="20" cm="1">
        <f t="array" aca="1" ref="C9" ca="1">_xll.TMX.VALUE.YIELD(instrument, 1)</f>
        <v>4.8786679882032745E-2</v>
      </c>
    </row>
    <row r="10" spans="2:7" x14ac:dyDescent="0.3">
      <c r="B10" s="10" t="s">
        <v>40</v>
      </c>
      <c r="C10" s="20"/>
    </row>
    <row r="11" spans="2:7" x14ac:dyDescent="0.3">
      <c r="B11" s="10" t="s">
        <v>41</v>
      </c>
      <c r="C11" s="20"/>
    </row>
    <row r="12" spans="2:7" x14ac:dyDescent="0.3">
      <c r="B12" s="10" t="s">
        <v>39</v>
      </c>
      <c r="C12" s="20" cm="1">
        <f t="array" aca="1" ref="C12" ca="1">_xll.TMX.VALUE.COMPOUND_YIELD(C9,12/_xll.ENUM(frequency))</f>
        <v>4.9996341504604302E-2</v>
      </c>
    </row>
    <row r="13" spans="2:7" x14ac:dyDescent="0.3">
      <c r="C13" s="1" t="s">
        <v>16</v>
      </c>
      <c r="D13" s="1" t="s">
        <v>34</v>
      </c>
      <c r="E13" s="1" t="s">
        <v>8</v>
      </c>
      <c r="G13" s="2"/>
    </row>
    <row r="14" spans="2:7" x14ac:dyDescent="0.3">
      <c r="C14" cm="1">
        <f t="array" aca="1" ref="C14:D17" ca="1">TRANSPOSE(_xll.TMX.INSTRUMENT(instrument))</f>
        <v>1.0020739645577939</v>
      </c>
      <c r="D14">
        <f ca="1"/>
        <v>0.05</v>
      </c>
      <c r="E14" s="2" cm="1">
        <f t="array" aca="1" ref="E14:E17" ca="1">_xlfn.MAP(INDEX(_xlfn.ANCHORARRAY(C14),,1),_xlfn.LAMBDA(_xlpm.t,_xll.TMX.DATE.ADD_YEARS(dated,_xlpm.t)))</f>
        <v>45468</v>
      </c>
      <c r="G14" s="2"/>
    </row>
    <row r="15" spans="2:7" x14ac:dyDescent="0.3">
      <c r="C15">
        <f ca="1"/>
        <v>2.0014100221085989</v>
      </c>
      <c r="D15">
        <f ca="1"/>
        <v>0.05</v>
      </c>
      <c r="E15" s="2">
        <f ca="1"/>
        <v>45832.999988425923</v>
      </c>
      <c r="G15" s="2"/>
    </row>
    <row r="16" spans="2:7" x14ac:dyDescent="0.3">
      <c r="C16">
        <f ca="1"/>
        <v>3.0007460796594043</v>
      </c>
      <c r="D16">
        <f ca="1"/>
        <v>0.05</v>
      </c>
      <c r="E16" s="2">
        <f ca="1"/>
        <v>46198</v>
      </c>
      <c r="G16" s="2"/>
    </row>
    <row r="17" spans="3:7" x14ac:dyDescent="0.3">
      <c r="C17">
        <f ca="1"/>
        <v>4.0000821372102093</v>
      </c>
      <c r="D17">
        <f ca="1"/>
        <v>1.05</v>
      </c>
      <c r="E17" s="2">
        <f ca="1"/>
        <v>46563</v>
      </c>
      <c r="G17" s="2"/>
    </row>
    <row r="18" spans="3:7" x14ac:dyDescent="0.3">
      <c r="E18" s="2"/>
      <c r="G18" s="2"/>
    </row>
    <row r="19" spans="3:7" x14ac:dyDescent="0.3">
      <c r="E19" s="2"/>
      <c r="G19" s="2"/>
    </row>
    <row r="20" spans="3:7" x14ac:dyDescent="0.3">
      <c r="E20" s="2"/>
      <c r="G20" s="2"/>
    </row>
    <row r="21" spans="3:7" x14ac:dyDescent="0.3">
      <c r="E21" s="2"/>
      <c r="G21" s="2"/>
    </row>
    <row r="22" spans="3:7" x14ac:dyDescent="0.3">
      <c r="E22" s="2"/>
      <c r="G22" s="2"/>
    </row>
    <row r="23" spans="3:7" x14ac:dyDescent="0.3">
      <c r="E23" s="2"/>
      <c r="G23" s="2"/>
    </row>
    <row r="24" spans="3:7" x14ac:dyDescent="0.3">
      <c r="E24" s="2"/>
      <c r="G24" s="2"/>
    </row>
    <row r="25" spans="3:7" x14ac:dyDescent="0.3">
      <c r="E25" s="2"/>
      <c r="G25" s="2"/>
    </row>
    <row r="26" spans="3:7" x14ac:dyDescent="0.3">
      <c r="E26" s="2"/>
      <c r="G26" s="2"/>
    </row>
    <row r="27" spans="3:7" x14ac:dyDescent="0.3">
      <c r="E27" s="2"/>
      <c r="G27" s="2"/>
    </row>
    <row r="28" spans="3:7" x14ac:dyDescent="0.3">
      <c r="E28" s="2"/>
      <c r="G28" s="2"/>
    </row>
    <row r="29" spans="3:7" x14ac:dyDescent="0.3">
      <c r="E29" s="2"/>
      <c r="G29" s="2"/>
    </row>
    <row r="30" spans="3:7" x14ac:dyDescent="0.3">
      <c r="E30" s="2"/>
      <c r="G30" s="2"/>
    </row>
    <row r="31" spans="3:7" x14ac:dyDescent="0.3">
      <c r="E31" s="2"/>
      <c r="G31" s="2"/>
    </row>
    <row r="32" spans="3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P107"/>
  <sheetViews>
    <sheetView tabSelected="1" zoomScale="110" zoomScaleNormal="110" workbookViewId="0">
      <selection activeCell="F2" sqref="F2"/>
    </sheetView>
  </sheetViews>
  <sheetFormatPr defaultRowHeight="18.75" x14ac:dyDescent="0.3"/>
  <cols>
    <col min="1" max="1" width="3.59765625" customWidth="1"/>
    <col min="2" max="2" width="9.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6" ht="21" x14ac:dyDescent="0.3">
      <c r="B2" s="4" t="s">
        <v>5</v>
      </c>
      <c r="F2" cm="1">
        <f t="array" aca="1" ref="F2:P3" ca="1">_xll.TMX.PWFLAT.CURVE(curve)</f>
        <v>0</v>
      </c>
      <c r="G2">
        <f ca="1"/>
        <v>-1.4566508585916602E+144</v>
      </c>
      <c r="H2">
        <f ca="1"/>
        <v>-1.4568153451023237E+144</v>
      </c>
      <c r="I2">
        <f ca="1"/>
        <v>0</v>
      </c>
      <c r="J2">
        <f ca="1"/>
        <v>-1.4568159901474629E+144</v>
      </c>
      <c r="K2">
        <f ca="1"/>
        <v>0</v>
      </c>
      <c r="L2">
        <f ca="1"/>
        <v>0</v>
      </c>
      <c r="M2">
        <f ca="1"/>
        <v>0</v>
      </c>
      <c r="N2">
        <f ca="1"/>
        <v>0</v>
      </c>
      <c r="O2">
        <f ca="1"/>
        <v>0</v>
      </c>
      <c r="P2">
        <f ca="1"/>
        <v>0</v>
      </c>
    </row>
    <row r="3" spans="2:16" x14ac:dyDescent="0.3">
      <c r="F3">
        <f ca="1"/>
        <v>0</v>
      </c>
      <c r="G3">
        <f ca="1"/>
        <v>0</v>
      </c>
      <c r="H3">
        <f ca="1"/>
        <v>0</v>
      </c>
      <c r="I3">
        <f ca="1"/>
        <v>0</v>
      </c>
      <c r="J3">
        <f ca="1"/>
        <v>0</v>
      </c>
      <c r="K3">
        <f ca="1"/>
        <v>0</v>
      </c>
      <c r="L3">
        <f ca="1"/>
        <v>0</v>
      </c>
      <c r="M3">
        <f ca="1"/>
        <v>0</v>
      </c>
      <c r="N3">
        <f ca="1"/>
        <v>0</v>
      </c>
      <c r="O3">
        <f ca="1"/>
        <v>0</v>
      </c>
      <c r="P3" t="e">
        <f ca="1"/>
        <v>#NUM!</v>
      </c>
    </row>
    <row r="4" spans="2:16" x14ac:dyDescent="0.3">
      <c r="B4" s="3" t="s">
        <v>4</v>
      </c>
      <c r="C4" s="2">
        <v>45080</v>
      </c>
      <c r="D4" s="2"/>
      <c r="F4" s="3"/>
      <c r="H4" s="2"/>
    </row>
    <row r="5" spans="2:16" x14ac:dyDescent="0.3">
      <c r="G5" s="19" t="s">
        <v>36</v>
      </c>
      <c r="H5">
        <v>0.1</v>
      </c>
    </row>
    <row r="6" spans="2:16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5" cm="1">
        <f t="array" aca="1" ref="G6" ca="1">_xll.\TMX.BOOTSTRAP(instrument, price)</f>
        <v>1204148805008</v>
      </c>
      <c r="H6" s="1" t="s">
        <v>16</v>
      </c>
      <c r="I6" s="1" t="s">
        <v>35</v>
      </c>
    </row>
    <row r="7" spans="2:16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1204222233024</v>
      </c>
      <c r="F7" s="5" cm="1">
        <f t="array" ref="F7">_xll.\TMX.BOND.INSTRUMENT(E7, dated)</f>
        <v>1204151950928</v>
      </c>
      <c r="H7" cm="1">
        <f t="array" ref="H7:H107">_xlfn.SEQUENCE(1+10/H5,1,0,H5)</f>
        <v>0</v>
      </c>
      <c r="I7" s="21" cm="1">
        <f t="array" aca="1" ref="I7:I107" ca="1">_xlfn.MAP(_xlfn.ANCHORARRAY(H7),_xlfn.LAMBDA(_xlpm.t,_xll.TMX.PWFLAT.CURVE.FORWARD(curve,_xlpm.t)))</f>
        <v>0</v>
      </c>
      <c r="J7" s="2"/>
    </row>
    <row r="8" spans="2:16" x14ac:dyDescent="0.3">
      <c r="B8">
        <v>2</v>
      </c>
      <c r="C8" s="18">
        <f ca="1">0.05 + 0.01*RAND()</f>
        <v>5.2378599755430709E-2</v>
      </c>
      <c r="D8" s="6">
        <v>1</v>
      </c>
      <c r="E8" s="5" cm="1">
        <f t="array" aca="1" ref="E8" ca="1">_xll.\TMX.BOND.SIMPLE(B8, C8)</f>
        <v>1204697061760</v>
      </c>
      <c r="F8" s="5" cm="1">
        <f t="array" aca="1" ref="F8" ca="1">_xll.\TMX.BOND.INSTRUMENT(E8, dated)</f>
        <v>1204148804304</v>
      </c>
      <c r="H8">
        <v>0.1</v>
      </c>
      <c r="I8" t="e">
        <f ca="1"/>
        <v>#NUM!</v>
      </c>
    </row>
    <row r="9" spans="2:16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1204222248096</v>
      </c>
      <c r="F9" s="5" cm="1">
        <f t="array" ref="F9">_xll.\TMX.BOND.INSTRUMENT(E9, dated)</f>
        <v>1204151955680</v>
      </c>
      <c r="H9">
        <v>0.2</v>
      </c>
      <c r="I9" t="e">
        <f ca="1"/>
        <v>#NUM!</v>
      </c>
    </row>
    <row r="10" spans="2:16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1204222247904</v>
      </c>
      <c r="F10" s="5" cm="1">
        <f t="array" ref="F10">_xll.\TMX.BOND.INSTRUMENT(E10, dated)</f>
        <v>1204151952512</v>
      </c>
      <c r="H10">
        <v>0.30000000000000004</v>
      </c>
      <c r="I10" t="e">
        <f ca="1"/>
        <v>#NUM!</v>
      </c>
    </row>
    <row r="11" spans="2:16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1204222246368</v>
      </c>
      <c r="F11" s="5" cm="1">
        <f t="array" ref="F11">_xll.\TMX.BOND.INSTRUMENT(E11, dated)</f>
        <v>1204151955856</v>
      </c>
      <c r="H11">
        <v>0.4</v>
      </c>
      <c r="I11" t="e">
        <f ca="1"/>
        <v>#NUM!</v>
      </c>
    </row>
    <row r="12" spans="2:16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1204222246272</v>
      </c>
      <c r="F12" s="5" cm="1">
        <f t="array" ref="F12">_xll.\TMX.BOND.INSTRUMENT(E12, dated)</f>
        <v>1204151956736</v>
      </c>
      <c r="H12">
        <v>0.5</v>
      </c>
      <c r="I12" t="e">
        <f ca="1"/>
        <v>#NUM!</v>
      </c>
    </row>
    <row r="13" spans="2:16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1204222244832</v>
      </c>
      <c r="F13" s="5" cm="1">
        <f t="array" ref="F13">_xll.\TMX.BOND.INSTRUMENT(E13, dated)</f>
        <v>1204151950576</v>
      </c>
      <c r="H13">
        <v>0.6</v>
      </c>
      <c r="I13" t="e">
        <f ca="1"/>
        <v>#NUM!</v>
      </c>
    </row>
    <row r="14" spans="2:16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1204222251936</v>
      </c>
      <c r="F14" s="5" cm="1">
        <f t="array" ref="F14">_xll.\TMX.BOND.INSTRUMENT(E14, dated)</f>
        <v>1204151955504</v>
      </c>
      <c r="H14">
        <v>0.7</v>
      </c>
      <c r="I14" t="e">
        <f ca="1"/>
        <v>#NUM!</v>
      </c>
    </row>
    <row r="15" spans="2:16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1204222250880</v>
      </c>
      <c r="F15" s="5" cm="1">
        <f t="array" ref="F15">_xll.\TMX.BOND.INSTRUMENT(E15, dated)</f>
        <v>1204151951808</v>
      </c>
      <c r="H15">
        <v>0.79999999999999993</v>
      </c>
      <c r="I15" t="e">
        <f ca="1"/>
        <v>#NUM!</v>
      </c>
    </row>
    <row r="16" spans="2:16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1204222248288</v>
      </c>
      <c r="F16" s="5" cm="1">
        <f t="array" ref="F16">_xll.\TMX.BOND.INSTRUMENT(E16, dated)</f>
        <v>1204151956384</v>
      </c>
      <c r="H16">
        <v>0.89999999999999991</v>
      </c>
      <c r="I16" t="e">
        <f ca="1"/>
        <v>#NUM!</v>
      </c>
    </row>
    <row r="17" spans="5:11" x14ac:dyDescent="0.3">
      <c r="H17">
        <v>0.99999999999999989</v>
      </c>
      <c r="I17" t="e">
        <f ca="1"/>
        <v>#NUM!</v>
      </c>
    </row>
    <row r="18" spans="5:11" x14ac:dyDescent="0.3">
      <c r="E18" s="5"/>
      <c r="H18">
        <v>1.0999999999999999</v>
      </c>
      <c r="I18" t="e">
        <f ca="1"/>
        <v>#NUM!</v>
      </c>
    </row>
    <row r="19" spans="5:11" x14ac:dyDescent="0.3">
      <c r="H19">
        <v>1.2</v>
      </c>
      <c r="I19" t="e">
        <f ca="1"/>
        <v>#NUM!</v>
      </c>
    </row>
    <row r="20" spans="5:11" x14ac:dyDescent="0.3">
      <c r="H20">
        <v>1.3</v>
      </c>
      <c r="I20" t="e">
        <f ca="1"/>
        <v>#NUM!</v>
      </c>
    </row>
    <row r="21" spans="5:11" x14ac:dyDescent="0.3">
      <c r="H21">
        <v>1.4000000000000001</v>
      </c>
      <c r="I21" t="e">
        <f ca="1"/>
        <v>#NUM!</v>
      </c>
      <c r="K21" t="e" cm="1">
        <f t="array" aca="1" ref="K21" ca="1">_xll.TMX.PWFLAT.CURVE.VALUE(curve, H21)</f>
        <v>#NAME?</v>
      </c>
    </row>
    <row r="22" spans="5:11" x14ac:dyDescent="0.3">
      <c r="H22">
        <v>1.5000000000000002</v>
      </c>
      <c r="I22" t="e">
        <f ca="1"/>
        <v>#NUM!</v>
      </c>
    </row>
    <row r="23" spans="5:11" x14ac:dyDescent="0.3">
      <c r="H23">
        <v>1.6000000000000003</v>
      </c>
      <c r="I23" t="e">
        <f ca="1"/>
        <v>#NUM!</v>
      </c>
    </row>
    <row r="24" spans="5:11" x14ac:dyDescent="0.3">
      <c r="H24">
        <v>1.7000000000000004</v>
      </c>
      <c r="I24" t="e">
        <f ca="1"/>
        <v>#NUM!</v>
      </c>
    </row>
    <row r="25" spans="5:11" x14ac:dyDescent="0.3">
      <c r="H25">
        <v>1.8000000000000005</v>
      </c>
      <c r="I25" t="e">
        <f ca="1"/>
        <v>#NUM!</v>
      </c>
    </row>
    <row r="26" spans="5:11" x14ac:dyDescent="0.3">
      <c r="H26">
        <v>1.9000000000000006</v>
      </c>
      <c r="I26" t="e">
        <f ca="1"/>
        <v>#NUM!</v>
      </c>
    </row>
    <row r="27" spans="5:11" x14ac:dyDescent="0.3">
      <c r="H27">
        <v>2.0000000000000004</v>
      </c>
      <c r="I27" t="e">
        <f ca="1"/>
        <v>#NUM!</v>
      </c>
    </row>
    <row r="28" spans="5:11" x14ac:dyDescent="0.3">
      <c r="H28">
        <v>2.1000000000000005</v>
      </c>
      <c r="I28" t="e">
        <f ca="1"/>
        <v>#NUM!</v>
      </c>
    </row>
    <row r="29" spans="5:11" x14ac:dyDescent="0.3">
      <c r="H29">
        <v>2.2000000000000006</v>
      </c>
      <c r="I29" t="e">
        <f ca="1"/>
        <v>#NUM!</v>
      </c>
    </row>
    <row r="30" spans="5:11" x14ac:dyDescent="0.3">
      <c r="H30">
        <v>2.3000000000000007</v>
      </c>
      <c r="I30" t="e">
        <f ca="1"/>
        <v>#NUM!</v>
      </c>
    </row>
    <row r="31" spans="5:11" x14ac:dyDescent="0.3">
      <c r="H31">
        <v>2.4000000000000008</v>
      </c>
      <c r="I31" t="e">
        <f ca="1"/>
        <v>#NUM!</v>
      </c>
    </row>
    <row r="32" spans="5:11" x14ac:dyDescent="0.3">
      <c r="H32">
        <v>2.5000000000000009</v>
      </c>
      <c r="I32" t="e">
        <f ca="1"/>
        <v>#NUM!</v>
      </c>
    </row>
    <row r="33" spans="8:9" x14ac:dyDescent="0.3">
      <c r="H33">
        <v>2.600000000000001</v>
      </c>
      <c r="I33" t="e">
        <f ca="1"/>
        <v>#NUM!</v>
      </c>
    </row>
    <row r="34" spans="8:9" x14ac:dyDescent="0.3">
      <c r="H34">
        <v>2.7000000000000011</v>
      </c>
      <c r="I34" t="e">
        <f ca="1"/>
        <v>#NUM!</v>
      </c>
    </row>
    <row r="35" spans="8:9" x14ac:dyDescent="0.3">
      <c r="H35">
        <v>2.8000000000000012</v>
      </c>
      <c r="I35" t="e">
        <f ca="1"/>
        <v>#NUM!</v>
      </c>
    </row>
    <row r="36" spans="8:9" x14ac:dyDescent="0.3">
      <c r="H36">
        <v>2.9000000000000012</v>
      </c>
      <c r="I36" t="e">
        <f ca="1"/>
        <v>#NUM!</v>
      </c>
    </row>
    <row r="37" spans="8:9" x14ac:dyDescent="0.3">
      <c r="H37">
        <v>3.0000000000000013</v>
      </c>
      <c r="I37" t="e">
        <f ca="1"/>
        <v>#NUM!</v>
      </c>
    </row>
    <row r="38" spans="8:9" x14ac:dyDescent="0.3">
      <c r="H38">
        <v>3.1000000000000014</v>
      </c>
      <c r="I38" t="e">
        <f ca="1"/>
        <v>#NUM!</v>
      </c>
    </row>
    <row r="39" spans="8:9" x14ac:dyDescent="0.3">
      <c r="H39">
        <v>3.2000000000000015</v>
      </c>
      <c r="I39" t="e">
        <f ca="1"/>
        <v>#NUM!</v>
      </c>
    </row>
    <row r="40" spans="8:9" x14ac:dyDescent="0.3">
      <c r="H40">
        <v>3.3000000000000016</v>
      </c>
      <c r="I40" t="e">
        <f ca="1"/>
        <v>#NUM!</v>
      </c>
    </row>
    <row r="41" spans="8:9" x14ac:dyDescent="0.3">
      <c r="H41">
        <v>3.4000000000000017</v>
      </c>
      <c r="I41" t="e">
        <f ca="1"/>
        <v>#NUM!</v>
      </c>
    </row>
    <row r="42" spans="8:9" x14ac:dyDescent="0.3">
      <c r="H42">
        <v>3.5000000000000018</v>
      </c>
      <c r="I42" t="e">
        <f ca="1"/>
        <v>#NUM!</v>
      </c>
    </row>
    <row r="43" spans="8:9" x14ac:dyDescent="0.3">
      <c r="H43">
        <v>3.6000000000000019</v>
      </c>
      <c r="I43" t="e">
        <f ca="1"/>
        <v>#NUM!</v>
      </c>
    </row>
    <row r="44" spans="8:9" x14ac:dyDescent="0.3">
      <c r="H44">
        <v>3.700000000000002</v>
      </c>
      <c r="I44" t="e">
        <f ca="1"/>
        <v>#NUM!</v>
      </c>
    </row>
    <row r="45" spans="8:9" x14ac:dyDescent="0.3">
      <c r="H45">
        <v>3.800000000000002</v>
      </c>
      <c r="I45" t="e">
        <f ca="1"/>
        <v>#NUM!</v>
      </c>
    </row>
    <row r="46" spans="8:9" x14ac:dyDescent="0.3">
      <c r="H46">
        <v>3.9000000000000021</v>
      </c>
      <c r="I46" t="e">
        <f ca="1"/>
        <v>#NUM!</v>
      </c>
    </row>
    <row r="47" spans="8:9" x14ac:dyDescent="0.3">
      <c r="H47">
        <v>4.0000000000000018</v>
      </c>
      <c r="I47" t="e">
        <f ca="1"/>
        <v>#NUM!</v>
      </c>
    </row>
    <row r="48" spans="8:9" x14ac:dyDescent="0.3">
      <c r="H48">
        <v>4.1000000000000014</v>
      </c>
      <c r="I48" t="e">
        <f ca="1"/>
        <v>#NUM!</v>
      </c>
    </row>
    <row r="49" spans="8:9" x14ac:dyDescent="0.3">
      <c r="H49">
        <v>4.2000000000000011</v>
      </c>
      <c r="I49" t="e">
        <f ca="1"/>
        <v>#NUM!</v>
      </c>
    </row>
    <row r="50" spans="8:9" x14ac:dyDescent="0.3">
      <c r="H50">
        <v>4.3000000000000007</v>
      </c>
      <c r="I50" t="e">
        <f ca="1"/>
        <v>#NUM!</v>
      </c>
    </row>
    <row r="51" spans="8:9" x14ac:dyDescent="0.3">
      <c r="H51">
        <v>4.4000000000000004</v>
      </c>
      <c r="I51" t="e">
        <f ca="1"/>
        <v>#NUM!</v>
      </c>
    </row>
    <row r="52" spans="8:9" x14ac:dyDescent="0.3">
      <c r="H52">
        <v>4.5</v>
      </c>
      <c r="I52" t="e">
        <f ca="1"/>
        <v>#NUM!</v>
      </c>
    </row>
    <row r="53" spans="8:9" x14ac:dyDescent="0.3">
      <c r="H53">
        <v>4.5999999999999996</v>
      </c>
      <c r="I53" t="e">
        <f ca="1"/>
        <v>#NUM!</v>
      </c>
    </row>
    <row r="54" spans="8:9" x14ac:dyDescent="0.3">
      <c r="H54">
        <v>4.6999999999999993</v>
      </c>
      <c r="I54" t="e">
        <f ca="1"/>
        <v>#NUM!</v>
      </c>
    </row>
    <row r="55" spans="8:9" x14ac:dyDescent="0.3">
      <c r="H55">
        <v>4.7999999999999989</v>
      </c>
      <c r="I55" t="e">
        <f ca="1"/>
        <v>#NUM!</v>
      </c>
    </row>
    <row r="56" spans="8:9" x14ac:dyDescent="0.3">
      <c r="H56">
        <v>4.8999999999999986</v>
      </c>
      <c r="I56" t="e">
        <f ca="1"/>
        <v>#NUM!</v>
      </c>
    </row>
    <row r="57" spans="8:9" x14ac:dyDescent="0.3">
      <c r="H57">
        <v>4.9999999999999982</v>
      </c>
      <c r="I57" t="e">
        <f ca="1"/>
        <v>#NUM!</v>
      </c>
    </row>
    <row r="58" spans="8:9" x14ac:dyDescent="0.3">
      <c r="H58">
        <v>5.0999999999999979</v>
      </c>
      <c r="I58" t="e">
        <f ca="1"/>
        <v>#NUM!</v>
      </c>
    </row>
    <row r="59" spans="8:9" x14ac:dyDescent="0.3">
      <c r="H59">
        <v>5.1999999999999975</v>
      </c>
      <c r="I59" t="e">
        <f ca="1"/>
        <v>#NUM!</v>
      </c>
    </row>
    <row r="60" spans="8:9" x14ac:dyDescent="0.3">
      <c r="H60">
        <v>5.2999999999999972</v>
      </c>
      <c r="I60" t="e">
        <f ca="1"/>
        <v>#NUM!</v>
      </c>
    </row>
    <row r="61" spans="8:9" x14ac:dyDescent="0.3">
      <c r="H61">
        <v>5.3999999999999968</v>
      </c>
      <c r="I61" t="e">
        <f ca="1"/>
        <v>#NUM!</v>
      </c>
    </row>
    <row r="62" spans="8:9" x14ac:dyDescent="0.3">
      <c r="H62">
        <v>5.4999999999999964</v>
      </c>
      <c r="I62" t="e">
        <f ca="1"/>
        <v>#NUM!</v>
      </c>
    </row>
    <row r="63" spans="8:9" x14ac:dyDescent="0.3">
      <c r="H63">
        <v>5.5999999999999961</v>
      </c>
      <c r="I63" t="e">
        <f ca="1"/>
        <v>#NUM!</v>
      </c>
    </row>
    <row r="64" spans="8:9" x14ac:dyDescent="0.3">
      <c r="H64">
        <v>5.6999999999999957</v>
      </c>
      <c r="I64" t="e">
        <f ca="1"/>
        <v>#NUM!</v>
      </c>
    </row>
    <row r="65" spans="8:9" x14ac:dyDescent="0.3">
      <c r="H65">
        <v>5.7999999999999954</v>
      </c>
      <c r="I65" t="e">
        <f ca="1"/>
        <v>#NUM!</v>
      </c>
    </row>
    <row r="66" spans="8:9" x14ac:dyDescent="0.3">
      <c r="H66">
        <v>5.899999999999995</v>
      </c>
      <c r="I66" t="e">
        <f ca="1"/>
        <v>#NUM!</v>
      </c>
    </row>
    <row r="67" spans="8:9" x14ac:dyDescent="0.3">
      <c r="H67">
        <v>5.9999999999999947</v>
      </c>
      <c r="I67" t="e">
        <f ca="1"/>
        <v>#NUM!</v>
      </c>
    </row>
    <row r="68" spans="8:9" x14ac:dyDescent="0.3">
      <c r="H68">
        <v>6.0999999999999943</v>
      </c>
      <c r="I68" t="e">
        <f ca="1"/>
        <v>#NUM!</v>
      </c>
    </row>
    <row r="69" spans="8:9" x14ac:dyDescent="0.3">
      <c r="H69">
        <v>6.199999999999994</v>
      </c>
      <c r="I69" t="e">
        <f ca="1"/>
        <v>#NUM!</v>
      </c>
    </row>
    <row r="70" spans="8:9" x14ac:dyDescent="0.3">
      <c r="H70">
        <v>6.2999999999999936</v>
      </c>
      <c r="I70" t="e">
        <f ca="1"/>
        <v>#NUM!</v>
      </c>
    </row>
    <row r="71" spans="8:9" x14ac:dyDescent="0.3">
      <c r="H71">
        <v>6.3999999999999932</v>
      </c>
      <c r="I71" t="e">
        <f ca="1"/>
        <v>#NUM!</v>
      </c>
    </row>
    <row r="72" spans="8:9" x14ac:dyDescent="0.3">
      <c r="H72">
        <v>6.4999999999999929</v>
      </c>
      <c r="I72" t="e">
        <f ca="1"/>
        <v>#NUM!</v>
      </c>
    </row>
    <row r="73" spans="8:9" x14ac:dyDescent="0.3">
      <c r="H73">
        <v>6.5999999999999925</v>
      </c>
      <c r="I73" t="e">
        <f ca="1"/>
        <v>#NUM!</v>
      </c>
    </row>
    <row r="74" spans="8:9" x14ac:dyDescent="0.3">
      <c r="H74">
        <v>6.6999999999999922</v>
      </c>
      <c r="I74" t="e">
        <f ca="1"/>
        <v>#NUM!</v>
      </c>
    </row>
    <row r="75" spans="8:9" x14ac:dyDescent="0.3">
      <c r="H75">
        <v>6.7999999999999918</v>
      </c>
      <c r="I75" t="e">
        <f ca="1"/>
        <v>#NUM!</v>
      </c>
    </row>
    <row r="76" spans="8:9" x14ac:dyDescent="0.3">
      <c r="H76">
        <v>6.8999999999999915</v>
      </c>
      <c r="I76" t="e">
        <f ca="1"/>
        <v>#NUM!</v>
      </c>
    </row>
    <row r="77" spans="8:9" x14ac:dyDescent="0.3">
      <c r="H77">
        <v>6.9999999999999911</v>
      </c>
      <c r="I77" t="e">
        <f ca="1"/>
        <v>#NUM!</v>
      </c>
    </row>
    <row r="78" spans="8:9" x14ac:dyDescent="0.3">
      <c r="H78">
        <v>7.0999999999999908</v>
      </c>
      <c r="I78" t="e">
        <f ca="1"/>
        <v>#NUM!</v>
      </c>
    </row>
    <row r="79" spans="8:9" x14ac:dyDescent="0.3">
      <c r="H79">
        <v>7.1999999999999904</v>
      </c>
      <c r="I79" t="e">
        <f ca="1"/>
        <v>#NUM!</v>
      </c>
    </row>
    <row r="80" spans="8:9" x14ac:dyDescent="0.3">
      <c r="H80">
        <v>7.2999999999999901</v>
      </c>
      <c r="I80" t="e">
        <f ca="1"/>
        <v>#NUM!</v>
      </c>
    </row>
    <row r="81" spans="8:9" x14ac:dyDescent="0.3">
      <c r="H81">
        <v>7.3999999999999897</v>
      </c>
      <c r="I81" t="e">
        <f ca="1"/>
        <v>#NUM!</v>
      </c>
    </row>
    <row r="82" spans="8:9" x14ac:dyDescent="0.3">
      <c r="H82">
        <v>7.4999999999999893</v>
      </c>
      <c r="I82" t="e">
        <f ca="1"/>
        <v>#NUM!</v>
      </c>
    </row>
    <row r="83" spans="8:9" x14ac:dyDescent="0.3">
      <c r="H83">
        <v>7.599999999999989</v>
      </c>
      <c r="I83" t="e">
        <f ca="1"/>
        <v>#NUM!</v>
      </c>
    </row>
    <row r="84" spans="8:9" x14ac:dyDescent="0.3">
      <c r="H84">
        <v>7.6999999999999886</v>
      </c>
      <c r="I84" t="e">
        <f ca="1"/>
        <v>#NUM!</v>
      </c>
    </row>
    <row r="85" spans="8:9" x14ac:dyDescent="0.3">
      <c r="H85">
        <v>7.7999999999999883</v>
      </c>
      <c r="I85" t="e">
        <f ca="1"/>
        <v>#NUM!</v>
      </c>
    </row>
    <row r="86" spans="8:9" x14ac:dyDescent="0.3">
      <c r="H86">
        <v>7.8999999999999879</v>
      </c>
      <c r="I86" t="e">
        <f ca="1"/>
        <v>#NUM!</v>
      </c>
    </row>
    <row r="87" spans="8:9" x14ac:dyDescent="0.3">
      <c r="H87">
        <v>7.9999999999999876</v>
      </c>
      <c r="I87" t="e">
        <f ca="1"/>
        <v>#NUM!</v>
      </c>
    </row>
    <row r="88" spans="8:9" x14ac:dyDescent="0.3">
      <c r="H88">
        <v>8.0999999999999872</v>
      </c>
      <c r="I88" t="e">
        <f ca="1"/>
        <v>#NUM!</v>
      </c>
    </row>
    <row r="89" spans="8:9" x14ac:dyDescent="0.3">
      <c r="H89">
        <v>8.1999999999999869</v>
      </c>
      <c r="I89" t="e">
        <f ca="1"/>
        <v>#NUM!</v>
      </c>
    </row>
    <row r="90" spans="8:9" x14ac:dyDescent="0.3">
      <c r="H90">
        <v>8.2999999999999865</v>
      </c>
      <c r="I90" t="e">
        <f ca="1"/>
        <v>#NUM!</v>
      </c>
    </row>
    <row r="91" spans="8:9" x14ac:dyDescent="0.3">
      <c r="H91">
        <v>8.3999999999999861</v>
      </c>
      <c r="I91" t="e">
        <f ca="1"/>
        <v>#NUM!</v>
      </c>
    </row>
    <row r="92" spans="8:9" x14ac:dyDescent="0.3">
      <c r="H92">
        <v>8.4999999999999858</v>
      </c>
      <c r="I92" t="e">
        <f ca="1"/>
        <v>#NUM!</v>
      </c>
    </row>
    <row r="93" spans="8:9" x14ac:dyDescent="0.3">
      <c r="H93">
        <v>8.5999999999999854</v>
      </c>
      <c r="I93" t="e">
        <f ca="1"/>
        <v>#NUM!</v>
      </c>
    </row>
    <row r="94" spans="8:9" x14ac:dyDescent="0.3">
      <c r="H94">
        <v>8.6999999999999851</v>
      </c>
      <c r="I94" t="e">
        <f ca="1"/>
        <v>#NUM!</v>
      </c>
    </row>
    <row r="95" spans="8:9" x14ac:dyDescent="0.3">
      <c r="H95">
        <v>8.7999999999999847</v>
      </c>
      <c r="I95" t="e">
        <f ca="1"/>
        <v>#NUM!</v>
      </c>
    </row>
    <row r="96" spans="8:9" x14ac:dyDescent="0.3">
      <c r="H96">
        <v>8.8999999999999844</v>
      </c>
      <c r="I96" t="e">
        <f ca="1"/>
        <v>#NUM!</v>
      </c>
    </row>
    <row r="97" spans="8:9" x14ac:dyDescent="0.3">
      <c r="H97">
        <v>8.999999999999984</v>
      </c>
      <c r="I97" t="e">
        <f ca="1"/>
        <v>#NUM!</v>
      </c>
    </row>
    <row r="98" spans="8:9" x14ac:dyDescent="0.3">
      <c r="H98">
        <v>9.0999999999999837</v>
      </c>
      <c r="I98" t="e">
        <f ca="1"/>
        <v>#NUM!</v>
      </c>
    </row>
    <row r="99" spans="8:9" x14ac:dyDescent="0.3">
      <c r="H99">
        <v>9.1999999999999833</v>
      </c>
      <c r="I99" t="e">
        <f ca="1"/>
        <v>#NUM!</v>
      </c>
    </row>
    <row r="100" spans="8:9" x14ac:dyDescent="0.3">
      <c r="H100">
        <v>9.2999999999999829</v>
      </c>
      <c r="I100" t="e">
        <f ca="1"/>
        <v>#NUM!</v>
      </c>
    </row>
    <row r="101" spans="8:9" x14ac:dyDescent="0.3">
      <c r="H101">
        <v>9.3999999999999826</v>
      </c>
      <c r="I101" t="e">
        <f ca="1"/>
        <v>#NUM!</v>
      </c>
    </row>
    <row r="102" spans="8:9" x14ac:dyDescent="0.3">
      <c r="H102">
        <v>9.4999999999999822</v>
      </c>
      <c r="I102" t="e">
        <f ca="1"/>
        <v>#NUM!</v>
      </c>
    </row>
    <row r="103" spans="8:9" x14ac:dyDescent="0.3">
      <c r="H103">
        <v>9.5999999999999819</v>
      </c>
      <c r="I103" t="e">
        <f ca="1"/>
        <v>#NUM!</v>
      </c>
    </row>
    <row r="104" spans="8:9" x14ac:dyDescent="0.3">
      <c r="H104">
        <v>9.6999999999999815</v>
      </c>
      <c r="I104" t="e">
        <f ca="1"/>
        <v>#NUM!</v>
      </c>
    </row>
    <row r="105" spans="8:9" x14ac:dyDescent="0.3">
      <c r="H105">
        <v>9.7999999999999812</v>
      </c>
      <c r="I105" t="e">
        <f ca="1"/>
        <v>#NUM!</v>
      </c>
    </row>
    <row r="106" spans="8:9" x14ac:dyDescent="0.3">
      <c r="H106">
        <v>9.8999999999999808</v>
      </c>
      <c r="I106" t="e">
        <f ca="1"/>
        <v>#NUM!</v>
      </c>
    </row>
    <row r="107" spans="8:9" x14ac:dyDescent="0.3">
      <c r="H107">
        <v>9.9999999999999805</v>
      </c>
      <c r="I107" t="e">
        <f ca="1"/>
        <v>#NUM!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2"/>
  <sheetViews>
    <sheetView workbookViewId="0">
      <selection activeCell="E11" sqref="E11"/>
    </sheetView>
  </sheetViews>
  <sheetFormatPr defaultRowHeight="18.75" x14ac:dyDescent="0.3"/>
  <cols>
    <col min="1" max="1" width="3.69921875" customWidth="1"/>
    <col min="5" max="5" width="11.69921875" bestFit="1" customWidth="1"/>
  </cols>
  <sheetData>
    <row r="2" spans="2:5" x14ac:dyDescent="0.3">
      <c r="B2" s="3" t="s">
        <v>50</v>
      </c>
      <c r="C2" s="9">
        <v>0.1</v>
      </c>
    </row>
    <row r="3" spans="2:5" x14ac:dyDescent="0.3">
      <c r="B3" s="3" t="s">
        <v>51</v>
      </c>
      <c r="C3" s="9">
        <v>0.01</v>
      </c>
    </row>
    <row r="4" spans="2:5" x14ac:dyDescent="0.3">
      <c r="B4" s="3" t="s">
        <v>49</v>
      </c>
      <c r="C4" s="9">
        <v>10</v>
      </c>
    </row>
    <row r="5" spans="2:5" x14ac:dyDescent="0.3">
      <c r="B5" s="3" t="s">
        <v>52</v>
      </c>
      <c r="C5" s="9">
        <v>20</v>
      </c>
    </row>
    <row r="6" spans="2:5" x14ac:dyDescent="0.3">
      <c r="B6" s="3" t="s">
        <v>54</v>
      </c>
      <c r="C6">
        <f>EXP(-r_*t)</f>
        <v>0.36787944117144233</v>
      </c>
    </row>
    <row r="7" spans="2:5" x14ac:dyDescent="0.3">
      <c r="B7" s="3" t="s">
        <v>55</v>
      </c>
      <c r="C7">
        <f>EXP(-r_*u)</f>
        <v>0.1353352832366127</v>
      </c>
      <c r="E7">
        <f>Du/Dt</f>
        <v>0.36787944117144233</v>
      </c>
    </row>
    <row r="8" spans="2:5" x14ac:dyDescent="0.3">
      <c r="B8" s="3" t="s">
        <v>53</v>
      </c>
      <c r="C8">
        <f ca="1">EXP(-r_*(u-t)-σ^2*(u-t)^3/6-σ*(u-t)*_xlfn.NORM.S.INV(RAND())*SQRT(t))</f>
        <v>0.3102389784365393</v>
      </c>
    </row>
    <row r="9" spans="2:5" x14ac:dyDescent="0.3">
      <c r="B9" s="3" t="s">
        <v>59</v>
      </c>
      <c r="C9">
        <f ca="1">LN(C8)</f>
        <v>-1.1704123803099415</v>
      </c>
    </row>
    <row r="10" spans="2:5" x14ac:dyDescent="0.3">
      <c r="B10" s="10" t="s">
        <v>56</v>
      </c>
      <c r="C10" cm="1">
        <f t="array" ref="C10">_xll.TMX.HO_LEE.ED(Dt, Du, t, u, σ)</f>
        <v>0.34993774911115538</v>
      </c>
      <c r="D10" s="16" cm="1">
        <f t="array" aca="1" ref="D10" ca="1">_xll.MONTE.MEAN(C8)</f>
        <v>0.38067879287846046</v>
      </c>
    </row>
    <row r="11" spans="2:5" x14ac:dyDescent="0.3">
      <c r="B11" s="10" t="s">
        <v>57</v>
      </c>
      <c r="C11" cm="1">
        <f t="array" ref="C11">_xll.TMX.HO_LEE.ELogD(Dt, Du, t, u, σ)</f>
        <v>-1.1000000000000001</v>
      </c>
      <c r="D11" s="16">
        <f t="array" aca="1" ref="D11:D12" ca="1">_xll.MONTE.STDEV(logD)</f>
        <v>-1.016185039685831</v>
      </c>
      <c r="E11">
        <f ca="1">(C11-D11)/D12</f>
        <v>-0.26395273052976648</v>
      </c>
    </row>
    <row r="12" spans="2:5" x14ac:dyDescent="0.3">
      <c r="B12" s="10" t="s">
        <v>58</v>
      </c>
      <c r="C12" cm="1">
        <f t="array" ref="C12">_xll.TMX.HO_LEE.VarLogD(t, u, σ)</f>
        <v>0.1</v>
      </c>
      <c r="D12" s="16">
        <f ca="1"/>
        <v>0.31753776574293535</v>
      </c>
      <c r="E12" s="16">
        <f>SQRT(C12)</f>
        <v>0.31622776601683794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t</vt:lpstr>
      <vt:lpstr>time</vt:lpstr>
      <vt:lpstr>translate</vt:lpstr>
      <vt:lpstr>u</vt:lpstr>
      <vt:lpstr>years</vt:lpstr>
      <vt:lpstr>years_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2023-06-25T14:36:11Z</dcterms:modified>
</cp:coreProperties>
</file>